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70.xml" ContentType="application/vnd.ms-excel.controlproperties+xml"/>
  <Override PartName="/xl/ctrlProps/ctrlProp71.xml" ContentType="application/vnd.ms-excel.controlproperties+xml"/>
  <Override PartName="/xl/drawings/drawing3.xml" ContentType="application/vnd.openxmlformats-officedocument.drawing+xml"/>
  <Override PartName="/xl/comments2.xml" ContentType="application/vnd.openxmlformats-officedocument.spreadsheetml.comment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drawings/drawing4.xml" ContentType="application/vnd.openxmlformats-officedocument.drawing+xml"/>
  <Override PartName="/xl/charts/chart8.xml" ContentType="application/vnd.openxmlformats-officedocument.drawingml.chart+xml"/>
  <Override PartName="/xl/theme/themeOverride2.xml" ContentType="application/vnd.openxmlformats-officedocument.themeOverride+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theme/themeOverride3.xml" ContentType="application/vnd.openxmlformats-officedocument.themeOverride+xml"/>
  <Override PartName="/xl/charts/chart12.xml" ContentType="application/vnd.openxmlformats-officedocument.drawingml.chart+xml"/>
  <Override PartName="/xl/drawings/drawing5.xml" ContentType="application/vnd.openxmlformats-officedocument.drawing+xml"/>
  <Override PartName="/xl/charts/chart13.xml" ContentType="application/vnd.openxmlformats-officedocument.drawingml.chart+xml"/>
  <Override PartName="/xl/theme/themeOverride4.xml" ContentType="application/vnd.openxmlformats-officedocument.themeOverride+xml"/>
  <Override PartName="/xl/drawings/drawing6.xml" ContentType="application/vnd.openxmlformats-officedocument.drawing+xml"/>
  <Override PartName="/xl/charts/chart14.xml" ContentType="application/vnd.openxmlformats-officedocument.drawingml.chart+xml"/>
  <Override PartName="/xl/theme/themeOverride5.xml" ContentType="application/vnd.openxmlformats-officedocument.themeOverride+xml"/>
  <Override PartName="/xl/drawings/drawing7.xml" ContentType="application/vnd.openxmlformats-officedocument.drawing+xml"/>
  <Override PartName="/xl/charts/chart15.xml" ContentType="application/vnd.openxmlformats-officedocument.drawingml.chart+xml"/>
  <Override PartName="/xl/drawings/drawing8.xml" ContentType="application/vnd.openxmlformats-officedocument.drawing+xml"/>
  <Override PartName="/xl/charts/chart16.xml" ContentType="application/vnd.openxmlformats-officedocument.drawingml.chart+xml"/>
  <Override PartName="/xl/theme/themeOverride6.xml" ContentType="application/vnd.openxmlformats-officedocument.themeOverride+xml"/>
  <Override PartName="/xl/drawings/drawing9.xml" ContentType="application/vnd.openxmlformats-officedocument.drawing+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codeName="ThisWorkbook" defaultThemeVersion="124226"/>
  <mc:AlternateContent xmlns:mc="http://schemas.openxmlformats.org/markup-compatibility/2006">
    <mc:Choice Requires="x15">
      <x15ac:absPath xmlns:x15ac="http://schemas.microsoft.com/office/spreadsheetml/2010/11/ac" url="C:\Users\fredr\Dropbox\Jakt\Stora Sävsjön\Skötselplan 2024-28\"/>
    </mc:Choice>
  </mc:AlternateContent>
  <xr:revisionPtr revIDLastSave="0" documentId="8_{972434AC-939D-44CD-A0CF-76481AB57E8A}" xr6:coauthVersionLast="47" xr6:coauthVersionMax="47" xr10:uidLastSave="{00000000-0000-0000-0000-000000000000}"/>
  <bookViews>
    <workbookView xWindow="-120" yWindow="-120" windowWidth="38640" windowHeight="21240" xr2:uid="{00000000-000D-0000-FFFF-FFFF00000000}"/>
  </bookViews>
  <sheets>
    <sheet name="Förutsättningar" sheetId="15" r:id="rId1"/>
    <sheet name="NFS 2011-7" sheetId="13" r:id="rId2"/>
    <sheet name="Ärendekort" sheetId="26" r:id="rId3"/>
    <sheet name="Skötselplan" sheetId="1" r:id="rId4"/>
    <sheet name="Faktorer" sheetId="16" state="hidden" r:id="rId5"/>
    <sheet name="Utdata" sheetId="17" state="hidden" r:id="rId6"/>
    <sheet name="Beräkning avskjutning" sheetId="24" state="hidden" r:id="rId7"/>
    <sheet name="SourceData" sheetId="25" state="hidden" r:id="rId8"/>
    <sheet name="2.1.1 Avskjutning" sheetId="10" r:id="rId9"/>
    <sheet name="2.1.2 Älgobs" sheetId="11" r:id="rId10"/>
    <sheet name="2.1.3 Spillningsinventering" sheetId="18" r:id="rId11"/>
    <sheet name="2.1.4 Kalvvikter" sheetId="14" r:id="rId12"/>
    <sheet name="2.2.1 Äbin" sheetId="12" r:id="rId13"/>
    <sheet name="Sammanst spillinv ÄFO" sheetId="22" r:id="rId14"/>
  </sheets>
  <externalReferences>
    <externalReference r:id="rId15"/>
    <externalReference r:id="rId16"/>
  </externalReferences>
  <definedNames>
    <definedName name="_xlnm._FilterDatabase" localSheetId="4" hidden="1">Faktorer!$H$19:$H$168</definedName>
    <definedName name="Inventeringsobjekt" localSheetId="13">[1]Faktorer!$C$3:$C$7</definedName>
    <definedName name="Inventeringsobjekt">Faktorer!$C$3:$C$7</definedName>
    <definedName name="Sammanst_spillinv_ny" localSheetId="2">[2]Faktorer!$C$3:$C$7</definedName>
    <definedName name="Sammanst_spillinv_ny">[1]Faktorer!$C$3:$C$7</definedName>
    <definedName name="Skogstillstånd" localSheetId="13">[1]Faktorer!$D$3:$D$8</definedName>
    <definedName name="Skogstillstånd">Faktorer!$D$3:$D$8</definedName>
    <definedName name="_xlnm.Print_Area" localSheetId="6">'Beräkning avskjutning'!$A$1:$K$196</definedName>
    <definedName name="_xlnm.Print_Area" localSheetId="3">Skötselplan!$A$1:$H$388</definedName>
    <definedName name="Välj">Faktorer!$C$5:$C$7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 i="1" l="1"/>
  <c r="C9" i="1"/>
  <c r="B93" i="1" s="1"/>
  <c r="E9" i="1"/>
  <c r="C56" i="1"/>
  <c r="C14" i="1"/>
  <c r="F14" i="1" s="1"/>
  <c r="AF2" i="17" s="1"/>
  <c r="C16" i="1"/>
  <c r="C57" i="1"/>
  <c r="B58" i="1"/>
  <c r="D55" i="1" s="1"/>
  <c r="B85" i="1"/>
  <c r="B86" i="1"/>
  <c r="B89" i="1" s="1"/>
  <c r="B90" i="1" s="1"/>
  <c r="C86" i="1"/>
  <c r="D86" i="1"/>
  <c r="B87" i="1"/>
  <c r="C87" i="1"/>
  <c r="D87" i="1"/>
  <c r="D94" i="1" s="1"/>
  <c r="B88" i="1"/>
  <c r="C88" i="1"/>
  <c r="D88" i="1"/>
  <c r="D9" i="24" s="1"/>
  <c r="C93" i="1"/>
  <c r="B94" i="1"/>
  <c r="C94" i="1"/>
  <c r="B102" i="1"/>
  <c r="E102" i="1"/>
  <c r="B103" i="1"/>
  <c r="F103" i="1" s="1"/>
  <c r="C103" i="1"/>
  <c r="D103" i="1"/>
  <c r="E103" i="1"/>
  <c r="B104" i="1"/>
  <c r="B30" i="24" s="1"/>
  <c r="G30" i="24" s="1"/>
  <c r="C104" i="1"/>
  <c r="D104" i="1"/>
  <c r="E104" i="1"/>
  <c r="B105" i="1"/>
  <c r="C105" i="1"/>
  <c r="D105" i="1"/>
  <c r="E105" i="1"/>
  <c r="F105" i="1"/>
  <c r="B106" i="1"/>
  <c r="C106" i="1"/>
  <c r="D106" i="1"/>
  <c r="E106" i="1"/>
  <c r="B112" i="1"/>
  <c r="C112" i="1"/>
  <c r="D112" i="1"/>
  <c r="E112" i="1"/>
  <c r="F112" i="1"/>
  <c r="B117" i="1"/>
  <c r="C117" i="1"/>
  <c r="D117" i="1"/>
  <c r="E117" i="1"/>
  <c r="F117" i="1"/>
  <c r="G117" i="1"/>
  <c r="B120" i="1"/>
  <c r="C120" i="1"/>
  <c r="D120" i="1"/>
  <c r="E120" i="1"/>
  <c r="F120" i="1"/>
  <c r="D37" i="24" s="1"/>
  <c r="G120" i="1"/>
  <c r="B129" i="1"/>
  <c r="C129" i="1"/>
  <c r="D129" i="1"/>
  <c r="F129" i="1"/>
  <c r="B130" i="1"/>
  <c r="C130" i="1"/>
  <c r="D130" i="1"/>
  <c r="E130" i="1"/>
  <c r="F130" i="1"/>
  <c r="B131" i="1"/>
  <c r="C131" i="1"/>
  <c r="D131" i="1"/>
  <c r="E131" i="1"/>
  <c r="F131" i="1"/>
  <c r="B132" i="1"/>
  <c r="C132" i="1"/>
  <c r="D132" i="1"/>
  <c r="CP2" i="17" s="1"/>
  <c r="E132" i="1"/>
  <c r="F132" i="1"/>
  <c r="B133" i="1"/>
  <c r="C133" i="1"/>
  <c r="D133" i="1"/>
  <c r="E133" i="1"/>
  <c r="F133" i="1"/>
  <c r="B139" i="1"/>
  <c r="C139" i="1"/>
  <c r="E139" i="1"/>
  <c r="F139" i="1"/>
  <c r="B140" i="1"/>
  <c r="C140" i="1"/>
  <c r="D140" i="1"/>
  <c r="E140" i="1"/>
  <c r="F140" i="1"/>
  <c r="B141" i="1"/>
  <c r="C141" i="1"/>
  <c r="D141" i="1"/>
  <c r="E141" i="1"/>
  <c r="F141" i="1"/>
  <c r="B142" i="1"/>
  <c r="C142" i="1"/>
  <c r="D142" i="1"/>
  <c r="E142" i="1"/>
  <c r="F142" i="1"/>
  <c r="B143" i="1"/>
  <c r="C143" i="1"/>
  <c r="D143" i="1"/>
  <c r="E143" i="1"/>
  <c r="F143" i="1"/>
  <c r="B149" i="1"/>
  <c r="D149" i="1"/>
  <c r="F149" i="1"/>
  <c r="B151" i="1"/>
  <c r="C151" i="1"/>
  <c r="D151" i="1"/>
  <c r="E151" i="1"/>
  <c r="F151" i="1"/>
  <c r="B153" i="1"/>
  <c r="C153" i="1"/>
  <c r="D153" i="1"/>
  <c r="E153" i="1"/>
  <c r="F153" i="1"/>
  <c r="B159" i="1"/>
  <c r="C159" i="1"/>
  <c r="E159" i="1"/>
  <c r="B161" i="1"/>
  <c r="C161" i="1"/>
  <c r="D161" i="1"/>
  <c r="E161" i="1"/>
  <c r="F161" i="1"/>
  <c r="C179" i="1"/>
  <c r="D179" i="1"/>
  <c r="E179" i="1"/>
  <c r="F179" i="1"/>
  <c r="B203" i="1"/>
  <c r="G204" i="1"/>
  <c r="H204" i="1"/>
  <c r="B205" i="1"/>
  <c r="F205" i="1"/>
  <c r="G205" i="1"/>
  <c r="H205" i="1"/>
  <c r="B206" i="1"/>
  <c r="B210" i="1"/>
  <c r="B211" i="1"/>
  <c r="B214" i="1"/>
  <c r="D219" i="1"/>
  <c r="D220" i="1"/>
  <c r="C221" i="1"/>
  <c r="D221" i="1"/>
  <c r="B222" i="1"/>
  <c r="C219" i="1" s="1"/>
  <c r="B230" i="1"/>
  <c r="C230" i="1"/>
  <c r="D230" i="1"/>
  <c r="E230" i="1"/>
  <c r="F230" i="1"/>
  <c r="G230" i="1"/>
  <c r="H230" i="1"/>
  <c r="B231" i="1"/>
  <c r="C231" i="1"/>
  <c r="FF2" i="17" s="1"/>
  <c r="D231" i="1"/>
  <c r="E231" i="1"/>
  <c r="F231" i="1"/>
  <c r="G231" i="1"/>
  <c r="H231" i="1"/>
  <c r="C232" i="1"/>
  <c r="FL2" i="17" s="1"/>
  <c r="D232" i="1"/>
  <c r="E232" i="1"/>
  <c r="FN2" i="17" s="1"/>
  <c r="E238" i="1"/>
  <c r="F238" i="1"/>
  <c r="G238" i="1"/>
  <c r="E239" i="1"/>
  <c r="F239" i="1"/>
  <c r="G239" i="1"/>
  <c r="H239" i="1"/>
  <c r="E240" i="1"/>
  <c r="F240" i="1"/>
  <c r="G240" i="1"/>
  <c r="H240" i="1"/>
  <c r="E241" i="1"/>
  <c r="F241" i="1"/>
  <c r="G241" i="1"/>
  <c r="H241" i="1"/>
  <c r="E242" i="1"/>
  <c r="F242" i="1"/>
  <c r="G242" i="1"/>
  <c r="H242" i="1"/>
  <c r="E243" i="1"/>
  <c r="F243" i="1"/>
  <c r="G243" i="1"/>
  <c r="H243" i="1"/>
  <c r="D250" i="1"/>
  <c r="E250" i="1"/>
  <c r="F250" i="1"/>
  <c r="B272" i="1"/>
  <c r="C272" i="1"/>
  <c r="D272" i="1"/>
  <c r="E273" i="1"/>
  <c r="E274" i="1"/>
  <c r="G210" i="1" s="1"/>
  <c r="E275" i="1"/>
  <c r="G211" i="1" s="1"/>
  <c r="E276" i="1"/>
  <c r="G212" i="1" s="1"/>
  <c r="E277" i="1"/>
  <c r="B278" i="1"/>
  <c r="C278" i="1"/>
  <c r="D278" i="1"/>
  <c r="B280" i="1"/>
  <c r="C280" i="1"/>
  <c r="C19" i="24" s="1"/>
  <c r="D280" i="1"/>
  <c r="E281" i="1"/>
  <c r="H210" i="1" s="1"/>
  <c r="E282" i="1"/>
  <c r="H211" i="1" s="1"/>
  <c r="E283" i="1"/>
  <c r="H212" i="1" s="1"/>
  <c r="E284" i="1"/>
  <c r="B285" i="1"/>
  <c r="B22" i="24" s="1"/>
  <c r="C285" i="1"/>
  <c r="C22" i="24" s="1"/>
  <c r="D285" i="1"/>
  <c r="D320" i="1" s="1"/>
  <c r="D290" i="1"/>
  <c r="E290" i="1"/>
  <c r="F290" i="1"/>
  <c r="G290" i="1"/>
  <c r="D291" i="1"/>
  <c r="E291" i="1"/>
  <c r="F291" i="1"/>
  <c r="G291" i="1"/>
  <c r="D292" i="1"/>
  <c r="E292" i="1"/>
  <c r="F292" i="1"/>
  <c r="G292" i="1"/>
  <c r="D293" i="1"/>
  <c r="E293" i="1"/>
  <c r="F293" i="1"/>
  <c r="G293" i="1"/>
  <c r="D294" i="1"/>
  <c r="E294" i="1"/>
  <c r="F294" i="1"/>
  <c r="G294" i="1"/>
  <c r="D295" i="1"/>
  <c r="E295" i="1"/>
  <c r="F295" i="1"/>
  <c r="G295" i="1"/>
  <c r="B298" i="1"/>
  <c r="D298" i="1"/>
  <c r="E298" i="1"/>
  <c r="F298" i="1"/>
  <c r="G298" i="1"/>
  <c r="D300" i="1"/>
  <c r="F210" i="1" s="1"/>
  <c r="E300" i="1"/>
  <c r="F212" i="1" s="1"/>
  <c r="F300" i="1"/>
  <c r="B21" i="24" s="1"/>
  <c r="G300" i="1"/>
  <c r="C310" i="1"/>
  <c r="C311" i="1" s="1"/>
  <c r="D310" i="1"/>
  <c r="D311" i="1" s="1"/>
  <c r="C312" i="1"/>
  <c r="D312" i="1"/>
  <c r="C313" i="1"/>
  <c r="D313" i="1"/>
  <c r="C314" i="1"/>
  <c r="C315" i="1"/>
  <c r="D315" i="1"/>
  <c r="C316" i="1"/>
  <c r="D316" i="1"/>
  <c r="A317" i="1"/>
  <c r="D317" i="1"/>
  <c r="D319" i="1"/>
  <c r="D321" i="1"/>
  <c r="B328" i="1"/>
  <c r="C328" i="1"/>
  <c r="D328" i="1"/>
  <c r="B332" i="1"/>
  <c r="B336" i="1" s="1"/>
  <c r="C332" i="1"/>
  <c r="C336" i="1" s="1"/>
  <c r="D332" i="1"/>
  <c r="D336" i="1" s="1"/>
  <c r="B333" i="1"/>
  <c r="C333" i="1"/>
  <c r="D333" i="1"/>
  <c r="B343" i="1"/>
  <c r="C343" i="1"/>
  <c r="D343" i="1"/>
  <c r="A2" i="17"/>
  <c r="G2" i="17"/>
  <c r="H2" i="17"/>
  <c r="I2" i="17"/>
  <c r="J2" i="17"/>
  <c r="K2" i="17"/>
  <c r="AA2" i="17"/>
  <c r="AB2" i="17"/>
  <c r="AC2" i="17"/>
  <c r="AD2" i="17"/>
  <c r="AE2" i="17"/>
  <c r="AG2" i="17"/>
  <c r="AH2" i="17"/>
  <c r="AN2" i="17"/>
  <c r="AO2" i="17"/>
  <c r="AP2" i="17"/>
  <c r="AQ2" i="17"/>
  <c r="AR2" i="17"/>
  <c r="AY2" i="17"/>
  <c r="AZ2" i="17"/>
  <c r="BA2" i="17"/>
  <c r="BB2" i="17"/>
  <c r="BC2" i="17"/>
  <c r="BD2" i="17"/>
  <c r="BF2" i="17"/>
  <c r="BG2" i="17"/>
  <c r="BH2" i="17"/>
  <c r="BI2" i="17"/>
  <c r="BJ2" i="17"/>
  <c r="BK2" i="17"/>
  <c r="BL2" i="17"/>
  <c r="BM2" i="17"/>
  <c r="BN2" i="17"/>
  <c r="BO2" i="17"/>
  <c r="BP2" i="17"/>
  <c r="BQ2" i="17"/>
  <c r="BR2" i="17"/>
  <c r="BS2" i="17"/>
  <c r="BT2" i="17"/>
  <c r="BU2" i="17"/>
  <c r="BV2" i="17"/>
  <c r="BW2" i="17"/>
  <c r="BX2" i="17"/>
  <c r="BY2" i="17"/>
  <c r="BZ2" i="17"/>
  <c r="CA2" i="17"/>
  <c r="CB2" i="17"/>
  <c r="CC2" i="17"/>
  <c r="CD2" i="17"/>
  <c r="CE2" i="17"/>
  <c r="CF2" i="17"/>
  <c r="CG2" i="17"/>
  <c r="CH2" i="17"/>
  <c r="CI2" i="17"/>
  <c r="CJ2" i="17"/>
  <c r="CK2" i="17"/>
  <c r="CL2" i="17"/>
  <c r="CM2" i="17"/>
  <c r="CN2" i="17"/>
  <c r="CO2" i="17"/>
  <c r="CQ2" i="17"/>
  <c r="CR2" i="17"/>
  <c r="CS2" i="17"/>
  <c r="CT2" i="17"/>
  <c r="CU2" i="17"/>
  <c r="CV2" i="17"/>
  <c r="CW2" i="17"/>
  <c r="CX2" i="17"/>
  <c r="CY2" i="17"/>
  <c r="CZ2" i="17"/>
  <c r="DA2" i="17"/>
  <c r="DB2" i="17"/>
  <c r="DC2" i="17"/>
  <c r="DD2" i="17"/>
  <c r="DE2" i="17"/>
  <c r="DF2" i="17"/>
  <c r="DG2" i="17"/>
  <c r="DH2" i="17"/>
  <c r="DI2" i="17"/>
  <c r="DJ2" i="17"/>
  <c r="DK2" i="17"/>
  <c r="DL2" i="17"/>
  <c r="DM2" i="17"/>
  <c r="DN2" i="17"/>
  <c r="DO2" i="17"/>
  <c r="DP2" i="17"/>
  <c r="DQ2" i="17"/>
  <c r="DR2" i="17"/>
  <c r="DS2" i="17"/>
  <c r="DT2" i="17"/>
  <c r="DU2" i="17"/>
  <c r="DV2" i="17"/>
  <c r="DW2" i="17"/>
  <c r="DX2" i="17"/>
  <c r="DY2" i="17"/>
  <c r="DZ2" i="17"/>
  <c r="EA2" i="17"/>
  <c r="EE2" i="17"/>
  <c r="EF2" i="17"/>
  <c r="EG2" i="17"/>
  <c r="EH2" i="17"/>
  <c r="EI2" i="17"/>
  <c r="FE2" i="17"/>
  <c r="FG2" i="17"/>
  <c r="FH2" i="17"/>
  <c r="FI2" i="17"/>
  <c r="FJ2" i="17"/>
  <c r="FK2" i="17"/>
  <c r="FM2" i="17"/>
  <c r="GP2" i="17"/>
  <c r="GQ2" i="17"/>
  <c r="GR2" i="17"/>
  <c r="GS2" i="17"/>
  <c r="GV2" i="17"/>
  <c r="GW2" i="17"/>
  <c r="GX2" i="17"/>
  <c r="GY2" i="17"/>
  <c r="GZ2" i="17"/>
  <c r="HA2" i="17"/>
  <c r="HB2" i="17"/>
  <c r="HC2" i="17"/>
  <c r="HD2" i="17"/>
  <c r="HE2" i="17"/>
  <c r="HF2" i="17"/>
  <c r="HG2" i="17"/>
  <c r="HH2" i="17"/>
  <c r="HI2" i="17"/>
  <c r="HJ2" i="17"/>
  <c r="HK2" i="17"/>
  <c r="HL2" i="17"/>
  <c r="HM2" i="17"/>
  <c r="HN2" i="17"/>
  <c r="HO2" i="17"/>
  <c r="HP2" i="17"/>
  <c r="HQ2" i="17"/>
  <c r="HR2" i="17"/>
  <c r="HS2" i="17"/>
  <c r="HT2" i="17"/>
  <c r="HU2" i="17"/>
  <c r="HV2" i="17"/>
  <c r="HW2" i="17"/>
  <c r="HX2" i="17"/>
  <c r="HY2" i="17"/>
  <c r="HZ2" i="17"/>
  <c r="IA2" i="17"/>
  <c r="IB2" i="17"/>
  <c r="IC2" i="17"/>
  <c r="ID2" i="17"/>
  <c r="IE2" i="17"/>
  <c r="IF2" i="17"/>
  <c r="IG2" i="17"/>
  <c r="IH2" i="17"/>
  <c r="II2" i="17"/>
  <c r="IJ2" i="17"/>
  <c r="IK2" i="17"/>
  <c r="IL2" i="17"/>
  <c r="IM2" i="17"/>
  <c r="IN2" i="17"/>
  <c r="IO2" i="17"/>
  <c r="IP2" i="17"/>
  <c r="IQ2" i="17"/>
  <c r="IR2" i="17"/>
  <c r="IS2" i="17"/>
  <c r="IT2" i="17"/>
  <c r="IU2" i="17"/>
  <c r="IV2" i="17"/>
  <c r="IW2" i="17"/>
  <c r="IX2" i="17"/>
  <c r="IY2" i="17"/>
  <c r="IZ2" i="17"/>
  <c r="JA2" i="17"/>
  <c r="JB2" i="17"/>
  <c r="JC2" i="17"/>
  <c r="JD2" i="17"/>
  <c r="JE2" i="17"/>
  <c r="JF2" i="17"/>
  <c r="JG2" i="17"/>
  <c r="JH2" i="17"/>
  <c r="JI2" i="17"/>
  <c r="JJ2" i="17"/>
  <c r="JK2" i="17"/>
  <c r="JL2" i="17"/>
  <c r="JM2" i="17"/>
  <c r="JN2" i="17"/>
  <c r="JO2" i="17"/>
  <c r="KS2" i="17"/>
  <c r="KT2" i="17"/>
  <c r="KU2" i="17"/>
  <c r="KV2" i="17"/>
  <c r="KW2" i="17"/>
  <c r="KX2" i="17"/>
  <c r="KY2" i="17"/>
  <c r="KZ2" i="17"/>
  <c r="LA2" i="17"/>
  <c r="LB2" i="17"/>
  <c r="LC2" i="17"/>
  <c r="LD2" i="17"/>
  <c r="LI2" i="17"/>
  <c r="LJ2" i="17"/>
  <c r="LK2" i="17"/>
  <c r="LL2" i="17"/>
  <c r="LM2" i="17"/>
  <c r="LN2" i="17"/>
  <c r="LO2" i="17"/>
  <c r="LP2" i="17"/>
  <c r="LQ2" i="17"/>
  <c r="LR2" i="17"/>
  <c r="LS2" i="17"/>
  <c r="LT2" i="17"/>
  <c r="LU2" i="17"/>
  <c r="LV2" i="17"/>
  <c r="LW2" i="17"/>
  <c r="LX2" i="17"/>
  <c r="LY2" i="17"/>
  <c r="LZ2" i="17"/>
  <c r="MA2" i="17"/>
  <c r="MB2" i="17"/>
  <c r="MC2" i="17"/>
  <c r="MD2" i="17"/>
  <c r="ME2" i="17"/>
  <c r="MH2" i="17"/>
  <c r="MI2" i="17"/>
  <c r="MJ2" i="17"/>
  <c r="MK2" i="17"/>
  <c r="ML2" i="17"/>
  <c r="MM2" i="17"/>
  <c r="MN2" i="17"/>
  <c r="MO2" i="17"/>
  <c r="MP2" i="17"/>
  <c r="E1" i="24"/>
  <c r="B6" i="24"/>
  <c r="B14" i="24" s="1"/>
  <c r="M6" i="24"/>
  <c r="B7" i="24"/>
  <c r="B15" i="24" s="1"/>
  <c r="C7" i="24"/>
  <c r="C10" i="24" s="1"/>
  <c r="D7" i="24"/>
  <c r="B8" i="24"/>
  <c r="C8" i="24"/>
  <c r="D8" i="24"/>
  <c r="D15" i="24" s="1"/>
  <c r="B9" i="24"/>
  <c r="C9" i="24"/>
  <c r="B11" i="24"/>
  <c r="C11" i="24"/>
  <c r="D11" i="24"/>
  <c r="C15" i="24"/>
  <c r="B19" i="24"/>
  <c r="F19" i="24" s="1"/>
  <c r="D19" i="24"/>
  <c r="B20" i="24"/>
  <c r="C20" i="24"/>
  <c r="D20" i="24"/>
  <c r="M20" i="24"/>
  <c r="C21" i="24"/>
  <c r="M21" i="24"/>
  <c r="D22" i="24"/>
  <c r="M22" i="24"/>
  <c r="B29" i="24"/>
  <c r="E29" i="24"/>
  <c r="M29" i="24"/>
  <c r="C30" i="24"/>
  <c r="D30" i="24"/>
  <c r="E30" i="24"/>
  <c r="B31" i="24"/>
  <c r="G31" i="24" s="1"/>
  <c r="C31" i="24"/>
  <c r="D31" i="24"/>
  <c r="E31" i="24"/>
  <c r="B32" i="24"/>
  <c r="C32" i="24"/>
  <c r="D32" i="24"/>
  <c r="E32" i="24"/>
  <c r="M36" i="24"/>
  <c r="B37" i="24"/>
  <c r="B36" i="24" s="1"/>
  <c r="C37" i="24"/>
  <c r="C36" i="24" s="1"/>
  <c r="E37" i="24"/>
  <c r="E36" i="24" s="1"/>
  <c r="B41" i="24"/>
  <c r="C41" i="24"/>
  <c r="D41" i="24"/>
  <c r="B42" i="24"/>
  <c r="C42" i="24"/>
  <c r="D42" i="24"/>
  <c r="B76" i="24"/>
  <c r="C147" i="24" s="1"/>
  <c r="M76" i="24"/>
  <c r="A99" i="24"/>
  <c r="A100" i="24"/>
  <c r="A101" i="24"/>
  <c r="A102" i="24"/>
  <c r="M134" i="24"/>
  <c r="M145" i="24"/>
  <c r="A151" i="24"/>
  <c r="D163" i="24" s="1"/>
  <c r="I160" i="24" s="1"/>
  <c r="A152" i="24"/>
  <c r="D164" i="24" s="1"/>
  <c r="A153" i="24"/>
  <c r="A154" i="24"/>
  <c r="D166" i="24" s="1"/>
  <c r="C160" i="24"/>
  <c r="K160" i="24"/>
  <c r="B163" i="24"/>
  <c r="D147" i="24" s="1"/>
  <c r="E163" i="24"/>
  <c r="F163" i="24"/>
  <c r="M163" i="24"/>
  <c r="E164" i="24"/>
  <c r="F164" i="24"/>
  <c r="M164" i="24"/>
  <c r="D165" i="24"/>
  <c r="E165" i="24"/>
  <c r="F165" i="24"/>
  <c r="E166" i="24"/>
  <c r="F166" i="24"/>
  <c r="B170" i="24"/>
  <c r="B171" i="24"/>
  <c r="B172" i="24"/>
  <c r="B173" i="24"/>
  <c r="C173" i="24"/>
  <c r="D173" i="24"/>
  <c r="B174" i="24"/>
  <c r="B175" i="24"/>
  <c r="B176" i="24"/>
  <c r="C176" i="24"/>
  <c r="D176" i="24"/>
  <c r="E176" i="24"/>
  <c r="M176" i="24"/>
  <c r="B177" i="24"/>
  <c r="B178" i="24"/>
  <c r="A203" i="24" s="1"/>
  <c r="B179" i="24"/>
  <c r="B180" i="24"/>
  <c r="D180" i="24"/>
  <c r="B181" i="24"/>
  <c r="B182" i="24"/>
  <c r="B183" i="24"/>
  <c r="C183" i="24"/>
  <c r="D183" i="24"/>
  <c r="E183" i="24"/>
  <c r="M183" i="24"/>
  <c r="B184" i="24"/>
  <c r="B185" i="24"/>
  <c r="A204" i="24" s="1"/>
  <c r="B186" i="24"/>
  <c r="B187" i="24"/>
  <c r="C187" i="24"/>
  <c r="D187" i="24"/>
  <c r="B188" i="24"/>
  <c r="B189" i="24"/>
  <c r="B190" i="24"/>
  <c r="C190" i="24"/>
  <c r="D190" i="24"/>
  <c r="E190" i="24"/>
  <c r="M190" i="24"/>
  <c r="B191" i="24"/>
  <c r="B192" i="24"/>
  <c r="A205" i="24" s="1"/>
  <c r="B193" i="24"/>
  <c r="B194" i="24"/>
  <c r="C194" i="24"/>
  <c r="D194" i="24"/>
  <c r="E194" i="24"/>
  <c r="B195" i="24"/>
  <c r="B196" i="24"/>
  <c r="A202" i="24"/>
  <c r="B207" i="24"/>
  <c r="C207" i="24"/>
  <c r="D207" i="24"/>
  <c r="M207" i="24"/>
  <c r="K3" i="22"/>
  <c r="L3" i="22"/>
  <c r="M3" i="22"/>
  <c r="N3" i="22"/>
  <c r="O3" i="22"/>
  <c r="P3" i="22" s="1"/>
  <c r="R3" i="22"/>
  <c r="S3" i="22"/>
  <c r="K4" i="22"/>
  <c r="L4" i="22"/>
  <c r="M4" i="22"/>
  <c r="P4" i="22" s="1"/>
  <c r="N4" i="22"/>
  <c r="Q4" i="22" s="1"/>
  <c r="O4" i="22"/>
  <c r="R4" i="22"/>
  <c r="S4" i="22"/>
  <c r="K5" i="22"/>
  <c r="L5" i="22"/>
  <c r="M5" i="22"/>
  <c r="N5" i="22"/>
  <c r="O5" i="22"/>
  <c r="Q5" i="22"/>
  <c r="R5" i="22"/>
  <c r="S5" i="22"/>
  <c r="K6" i="22"/>
  <c r="L6" i="22"/>
  <c r="M6" i="22"/>
  <c r="P6" i="22" s="1"/>
  <c r="N6" i="22"/>
  <c r="O6" i="22"/>
  <c r="Q6" i="22" s="1"/>
  <c r="R6" i="22"/>
  <c r="S6" i="22"/>
  <c r="K7" i="22"/>
  <c r="L7" i="22"/>
  <c r="M7" i="22"/>
  <c r="N7" i="22"/>
  <c r="O7" i="22"/>
  <c r="P7" i="22" s="1"/>
  <c r="R7" i="22"/>
  <c r="S7" i="22"/>
  <c r="K8" i="22"/>
  <c r="L8" i="22"/>
  <c r="M8" i="22"/>
  <c r="P8" i="22" s="1"/>
  <c r="N8" i="22"/>
  <c r="Q8" i="22" s="1"/>
  <c r="O8" i="22"/>
  <c r="R8" i="22"/>
  <c r="S8" i="22"/>
  <c r="K9" i="22"/>
  <c r="L9" i="22"/>
  <c r="M9" i="22"/>
  <c r="P9" i="22" s="1"/>
  <c r="N9" i="22"/>
  <c r="Q9" i="22" s="1"/>
  <c r="O9" i="22"/>
  <c r="R9" i="22"/>
  <c r="S9" i="22"/>
  <c r="K10" i="22"/>
  <c r="K13" i="22" s="1"/>
  <c r="L10" i="22"/>
  <c r="M10" i="22"/>
  <c r="P10" i="22" s="1"/>
  <c r="N10" i="22"/>
  <c r="O10" i="22"/>
  <c r="Q10" i="22" s="1"/>
  <c r="R10" i="22"/>
  <c r="S10" i="22"/>
  <c r="K11" i="22"/>
  <c r="L11" i="22"/>
  <c r="M11" i="22"/>
  <c r="N11" i="22"/>
  <c r="Q11" i="22" s="1"/>
  <c r="O11" i="22"/>
  <c r="R11" i="22"/>
  <c r="S11" i="22"/>
  <c r="K12" i="22"/>
  <c r="L12" i="22"/>
  <c r="M12" i="22"/>
  <c r="P12" i="22" s="1"/>
  <c r="N12" i="22"/>
  <c r="O12" i="22"/>
  <c r="R12" i="22"/>
  <c r="S12" i="22"/>
  <c r="F13" i="22"/>
  <c r="G13" i="22"/>
  <c r="K27" i="22"/>
  <c r="L27" i="22"/>
  <c r="M27" i="22"/>
  <c r="P27" i="22" s="1"/>
  <c r="N27" i="22"/>
  <c r="O27" i="22"/>
  <c r="Q27" i="22"/>
  <c r="R27" i="22"/>
  <c r="S27" i="22"/>
  <c r="K28" i="22"/>
  <c r="L28" i="22"/>
  <c r="M28" i="22"/>
  <c r="N28" i="22"/>
  <c r="O28" i="22"/>
  <c r="Q28" i="22"/>
  <c r="R28" i="22"/>
  <c r="S28" i="22"/>
  <c r="K29" i="22"/>
  <c r="L29" i="22"/>
  <c r="M29" i="22"/>
  <c r="N29" i="22"/>
  <c r="O29" i="22"/>
  <c r="P29" i="22"/>
  <c r="R29" i="22"/>
  <c r="S29" i="22"/>
  <c r="K30" i="22"/>
  <c r="L30" i="22"/>
  <c r="M30" i="22"/>
  <c r="N30" i="22"/>
  <c r="O30" i="22"/>
  <c r="Q30" i="22"/>
  <c r="R30" i="22"/>
  <c r="S30" i="22"/>
  <c r="K31" i="22"/>
  <c r="L31" i="22"/>
  <c r="M31" i="22"/>
  <c r="N31" i="22"/>
  <c r="O31" i="22"/>
  <c r="P31" i="22"/>
  <c r="R31" i="22"/>
  <c r="S31" i="22"/>
  <c r="K32" i="22"/>
  <c r="L32" i="22"/>
  <c r="M32" i="22"/>
  <c r="N32" i="22"/>
  <c r="O32" i="22"/>
  <c r="R32" i="22"/>
  <c r="S32" i="22"/>
  <c r="K33" i="22"/>
  <c r="L33" i="22"/>
  <c r="M33" i="22"/>
  <c r="P33" i="22" s="1"/>
  <c r="N33" i="22"/>
  <c r="O33" i="22"/>
  <c r="R33" i="22"/>
  <c r="S33" i="22"/>
  <c r="K34" i="22"/>
  <c r="L34" i="22"/>
  <c r="M34" i="22"/>
  <c r="N34" i="22"/>
  <c r="Q34" i="22" s="1"/>
  <c r="O34" i="22"/>
  <c r="R34" i="22"/>
  <c r="S34" i="22"/>
  <c r="K35" i="22"/>
  <c r="L35" i="22"/>
  <c r="M35" i="22"/>
  <c r="P35" i="22" s="1"/>
  <c r="N35" i="22"/>
  <c r="Q35" i="22" s="1"/>
  <c r="O35" i="22"/>
  <c r="R35" i="22"/>
  <c r="S35" i="22"/>
  <c r="K36" i="22"/>
  <c r="L36" i="22"/>
  <c r="M36" i="22"/>
  <c r="N36" i="22"/>
  <c r="O36" i="22"/>
  <c r="Q36" i="22"/>
  <c r="R36" i="22"/>
  <c r="S36" i="22"/>
  <c r="F37" i="22"/>
  <c r="G37" i="22"/>
  <c r="K51" i="22"/>
  <c r="L51" i="22"/>
  <c r="M51" i="22"/>
  <c r="N51" i="22"/>
  <c r="O51" i="22"/>
  <c r="O61" i="22" s="1"/>
  <c r="Q51" i="22"/>
  <c r="R51" i="22"/>
  <c r="S51" i="22"/>
  <c r="K52" i="22"/>
  <c r="L52" i="22"/>
  <c r="M52" i="22"/>
  <c r="N52" i="22"/>
  <c r="O52" i="22"/>
  <c r="P52" i="22"/>
  <c r="R52" i="22"/>
  <c r="S52" i="22"/>
  <c r="K53" i="22"/>
  <c r="L53" i="22"/>
  <c r="M53" i="22"/>
  <c r="N53" i="22"/>
  <c r="O53" i="22"/>
  <c r="R53" i="22"/>
  <c r="S53" i="22"/>
  <c r="K54" i="22"/>
  <c r="L54" i="22"/>
  <c r="M54" i="22"/>
  <c r="N54" i="22"/>
  <c r="O54" i="22"/>
  <c r="R54" i="22"/>
  <c r="S54" i="22"/>
  <c r="K55" i="22"/>
  <c r="L55" i="22"/>
  <c r="M55" i="22"/>
  <c r="P55" i="22" s="1"/>
  <c r="N55" i="22"/>
  <c r="O55" i="22"/>
  <c r="Q55" i="22"/>
  <c r="R55" i="22"/>
  <c r="S55" i="22"/>
  <c r="K56" i="22"/>
  <c r="L56" i="22"/>
  <c r="M56" i="22"/>
  <c r="N56" i="22"/>
  <c r="O56" i="22"/>
  <c r="P56" i="22"/>
  <c r="Q56" i="22"/>
  <c r="R56" i="22"/>
  <c r="S56" i="22"/>
  <c r="K57" i="22"/>
  <c r="L57" i="22"/>
  <c r="M57" i="22"/>
  <c r="N57" i="22"/>
  <c r="O57" i="22"/>
  <c r="P57" i="22" s="1"/>
  <c r="Q57" i="22"/>
  <c r="R57" i="22"/>
  <c r="S57" i="22"/>
  <c r="K58" i="22"/>
  <c r="L58" i="22"/>
  <c r="M58" i="22"/>
  <c r="N58" i="22"/>
  <c r="O58" i="22"/>
  <c r="P58" i="22"/>
  <c r="R58" i="22"/>
  <c r="S58" i="22"/>
  <c r="K59" i="22"/>
  <c r="L59" i="22"/>
  <c r="M59" i="22"/>
  <c r="N59" i="22"/>
  <c r="O59" i="22"/>
  <c r="Q59" i="22"/>
  <c r="R59" i="22"/>
  <c r="S59" i="22"/>
  <c r="K60" i="22"/>
  <c r="L60" i="22"/>
  <c r="M60" i="22"/>
  <c r="N60" i="22"/>
  <c r="O60" i="22"/>
  <c r="P60" i="22"/>
  <c r="R60" i="22"/>
  <c r="S60" i="22"/>
  <c r="F61" i="22"/>
  <c r="G61" i="22"/>
  <c r="K75" i="22"/>
  <c r="L75" i="22"/>
  <c r="L85" i="22" s="1"/>
  <c r="M75" i="22"/>
  <c r="N75" i="22"/>
  <c r="O75" i="22"/>
  <c r="R75" i="22"/>
  <c r="S75" i="22"/>
  <c r="K76" i="22"/>
  <c r="L76" i="22"/>
  <c r="M76" i="22"/>
  <c r="N76" i="22"/>
  <c r="O76" i="22"/>
  <c r="Q76" i="22"/>
  <c r="R76" i="22"/>
  <c r="S76" i="22"/>
  <c r="K77" i="22"/>
  <c r="L77" i="22"/>
  <c r="M77" i="22"/>
  <c r="N77" i="22"/>
  <c r="O77" i="22"/>
  <c r="Q77" i="22" s="1"/>
  <c r="P77" i="22"/>
  <c r="R77" i="22"/>
  <c r="S77" i="22"/>
  <c r="K78" i="22"/>
  <c r="L78" i="22"/>
  <c r="M78" i="22"/>
  <c r="N78" i="22"/>
  <c r="O78" i="22"/>
  <c r="P78" i="22" s="1"/>
  <c r="Q78" i="22"/>
  <c r="R78" i="22"/>
  <c r="S78" i="22"/>
  <c r="K79" i="22"/>
  <c r="L79" i="22"/>
  <c r="M79" i="22"/>
  <c r="N79" i="22"/>
  <c r="O79" i="22"/>
  <c r="P79" i="22" s="1"/>
  <c r="R79" i="22"/>
  <c r="S79" i="22"/>
  <c r="K80" i="22"/>
  <c r="L80" i="22"/>
  <c r="M80" i="22"/>
  <c r="N80" i="22"/>
  <c r="O80" i="22"/>
  <c r="Q80" i="22"/>
  <c r="R80" i="22"/>
  <c r="S80" i="22"/>
  <c r="K81" i="22"/>
  <c r="L81" i="22"/>
  <c r="M81" i="22"/>
  <c r="N81" i="22"/>
  <c r="O81" i="22"/>
  <c r="P81" i="22" s="1"/>
  <c r="R81" i="22"/>
  <c r="S81" i="22"/>
  <c r="K82" i="22"/>
  <c r="L82" i="22"/>
  <c r="M82" i="22"/>
  <c r="N82" i="22"/>
  <c r="O82" i="22"/>
  <c r="R82" i="22"/>
  <c r="S82" i="22"/>
  <c r="K83" i="22"/>
  <c r="L83" i="22"/>
  <c r="M83" i="22"/>
  <c r="P83" i="22" s="1"/>
  <c r="N83" i="22"/>
  <c r="O83" i="22"/>
  <c r="R83" i="22"/>
  <c r="S83" i="22"/>
  <c r="K84" i="22"/>
  <c r="L84" i="22"/>
  <c r="M84" i="22"/>
  <c r="N84" i="22"/>
  <c r="O84" i="22"/>
  <c r="Q84" i="22"/>
  <c r="R84" i="22"/>
  <c r="S84" i="22"/>
  <c r="F85" i="22"/>
  <c r="G85" i="22"/>
  <c r="K99" i="22"/>
  <c r="L99" i="22"/>
  <c r="M99" i="22"/>
  <c r="N99" i="22"/>
  <c r="Q99" i="22" s="1"/>
  <c r="O99" i="22"/>
  <c r="P99" i="22" s="1"/>
  <c r="R99" i="22"/>
  <c r="S99" i="22"/>
  <c r="K100" i="22"/>
  <c r="L100" i="22"/>
  <c r="M100" i="22"/>
  <c r="N100" i="22"/>
  <c r="O100" i="22"/>
  <c r="P100" i="22"/>
  <c r="R100" i="22"/>
  <c r="S100" i="22"/>
  <c r="K101" i="22"/>
  <c r="L101" i="22"/>
  <c r="M101" i="22"/>
  <c r="N101" i="22"/>
  <c r="Q101" i="22" s="1"/>
  <c r="O101" i="22"/>
  <c r="R101" i="22"/>
  <c r="S101" i="22"/>
  <c r="K102" i="22"/>
  <c r="L102" i="22"/>
  <c r="M102" i="22"/>
  <c r="N102" i="22"/>
  <c r="O102" i="22"/>
  <c r="P102" i="22"/>
  <c r="R102" i="22"/>
  <c r="S102" i="22"/>
  <c r="K103" i="22"/>
  <c r="L103" i="22"/>
  <c r="M103" i="22"/>
  <c r="N103" i="22"/>
  <c r="O103" i="22"/>
  <c r="R103" i="22"/>
  <c r="S103" i="22"/>
  <c r="K104" i="22"/>
  <c r="L104" i="22"/>
  <c r="M104" i="22"/>
  <c r="N104" i="22"/>
  <c r="O104" i="22"/>
  <c r="R104" i="22"/>
  <c r="S104" i="22"/>
  <c r="K105" i="22"/>
  <c r="L105" i="22"/>
  <c r="M105" i="22"/>
  <c r="P105" i="22" s="1"/>
  <c r="N105" i="22"/>
  <c r="O105" i="22"/>
  <c r="Q105" i="22"/>
  <c r="R105" i="22"/>
  <c r="S105" i="22"/>
  <c r="K106" i="22"/>
  <c r="L106" i="22"/>
  <c r="M106" i="22"/>
  <c r="N106" i="22"/>
  <c r="O106" i="22"/>
  <c r="P106" i="22"/>
  <c r="Q106" i="22"/>
  <c r="R106" i="22"/>
  <c r="S106" i="22"/>
  <c r="K107" i="22"/>
  <c r="L107" i="22"/>
  <c r="M107" i="22"/>
  <c r="N107" i="22"/>
  <c r="O107" i="22"/>
  <c r="P107" i="22" s="1"/>
  <c r="Q107" i="22"/>
  <c r="R107" i="22"/>
  <c r="S107" i="22"/>
  <c r="K108" i="22"/>
  <c r="L108" i="22"/>
  <c r="M108" i="22"/>
  <c r="N108" i="22"/>
  <c r="O108" i="22"/>
  <c r="P108" i="22"/>
  <c r="R108" i="22"/>
  <c r="S108" i="22"/>
  <c r="F109" i="22"/>
  <c r="G109" i="22"/>
  <c r="K123" i="22"/>
  <c r="L123" i="22"/>
  <c r="L133" i="22" s="1"/>
  <c r="M123" i="22"/>
  <c r="P123" i="22" s="1"/>
  <c r="N123" i="22"/>
  <c r="Q123" i="22" s="1"/>
  <c r="O123" i="22"/>
  <c r="R123" i="22"/>
  <c r="S123" i="22"/>
  <c r="K124" i="22"/>
  <c r="L124" i="22"/>
  <c r="M124" i="22"/>
  <c r="N124" i="22"/>
  <c r="Q124" i="22" s="1"/>
  <c r="O124" i="22"/>
  <c r="R124" i="22"/>
  <c r="S124" i="22"/>
  <c r="K125" i="22"/>
  <c r="L125" i="22"/>
  <c r="M125" i="22"/>
  <c r="P125" i="22" s="1"/>
  <c r="N125" i="22"/>
  <c r="Q125" i="22" s="1"/>
  <c r="O125" i="22"/>
  <c r="R125" i="22"/>
  <c r="S125" i="22"/>
  <c r="K126" i="22"/>
  <c r="L126" i="22"/>
  <c r="M126" i="22"/>
  <c r="N126" i="22"/>
  <c r="O126" i="22"/>
  <c r="Q126" i="22"/>
  <c r="R126" i="22"/>
  <c r="S126" i="22"/>
  <c r="K127" i="22"/>
  <c r="L127" i="22"/>
  <c r="M127" i="22"/>
  <c r="N127" i="22"/>
  <c r="Q127" i="22" s="1"/>
  <c r="O127" i="22"/>
  <c r="P127" i="22" s="1"/>
  <c r="R127" i="22"/>
  <c r="S127" i="22"/>
  <c r="K128" i="22"/>
  <c r="L128" i="22"/>
  <c r="M128" i="22"/>
  <c r="N128" i="22"/>
  <c r="O128" i="22"/>
  <c r="P128" i="22" s="1"/>
  <c r="R128" i="22"/>
  <c r="S128" i="22"/>
  <c r="K129" i="22"/>
  <c r="L129" i="22"/>
  <c r="M129" i="22"/>
  <c r="P129" i="22" s="1"/>
  <c r="N129" i="22"/>
  <c r="Q129" i="22" s="1"/>
  <c r="O129" i="22"/>
  <c r="R129" i="22"/>
  <c r="S129" i="22"/>
  <c r="K130" i="22"/>
  <c r="L130" i="22"/>
  <c r="M130" i="22"/>
  <c r="N130" i="22"/>
  <c r="O130" i="22"/>
  <c r="Q130" i="22" s="1"/>
  <c r="R130" i="22"/>
  <c r="S130" i="22"/>
  <c r="K131" i="22"/>
  <c r="L131" i="22"/>
  <c r="M131" i="22"/>
  <c r="P131" i="22" s="1"/>
  <c r="N131" i="22"/>
  <c r="Q131" i="22" s="1"/>
  <c r="O131" i="22"/>
  <c r="R131" i="22"/>
  <c r="S131" i="22"/>
  <c r="K132" i="22"/>
  <c r="L132" i="22"/>
  <c r="M132" i="22"/>
  <c r="N132" i="22"/>
  <c r="O132" i="22"/>
  <c r="R132" i="22"/>
  <c r="S132" i="22"/>
  <c r="F133" i="22"/>
  <c r="G133" i="22"/>
  <c r="Q132" i="22" l="1"/>
  <c r="Q100" i="22"/>
  <c r="P126" i="22"/>
  <c r="Q104" i="22"/>
  <c r="P80" i="22"/>
  <c r="O37" i="22"/>
  <c r="D10" i="24"/>
  <c r="B179" i="1"/>
  <c r="D139" i="1"/>
  <c r="D102" i="1"/>
  <c r="D29" i="24" s="1"/>
  <c r="Q3" i="22"/>
  <c r="B212" i="1"/>
  <c r="F106" i="1"/>
  <c r="F204" i="1" s="1"/>
  <c r="C102" i="1"/>
  <c r="C29" i="24" s="1"/>
  <c r="G29" i="24" s="1"/>
  <c r="F30" i="24" s="1"/>
  <c r="Q103" i="22"/>
  <c r="Q81" i="22"/>
  <c r="Q79" i="22"/>
  <c r="Q75" i="22"/>
  <c r="P103" i="22"/>
  <c r="P101" i="22"/>
  <c r="Q83" i="22"/>
  <c r="P75" i="22"/>
  <c r="Q53" i="22"/>
  <c r="P53" i="22"/>
  <c r="P51" i="22"/>
  <c r="Q31" i="22"/>
  <c r="Q29" i="22"/>
  <c r="Q7" i="22"/>
  <c r="F183" i="24"/>
  <c r="G183" i="24" s="1"/>
  <c r="D85" i="1"/>
  <c r="D6" i="24" s="1"/>
  <c r="D14" i="24" s="1"/>
  <c r="O109" i="22"/>
  <c r="K109" i="22"/>
  <c r="K85" i="22"/>
  <c r="P59" i="22"/>
  <c r="Q33" i="22"/>
  <c r="P11" i="22"/>
  <c r="P5" i="22"/>
  <c r="C12" i="24"/>
  <c r="C85" i="1"/>
  <c r="C6" i="24" s="1"/>
  <c r="C14" i="24" s="1"/>
  <c r="L13" i="22"/>
  <c r="G32" i="24"/>
  <c r="F32" i="24" s="1"/>
  <c r="Q128" i="22"/>
  <c r="Q133" i="22" s="1"/>
  <c r="N133" i="22" s="1"/>
  <c r="K61" i="22"/>
  <c r="L37" i="22"/>
  <c r="BE2" i="17"/>
  <c r="F159" i="1"/>
  <c r="E149" i="1"/>
  <c r="D93" i="1"/>
  <c r="B60" i="1"/>
  <c r="K37" i="22"/>
  <c r="E180" i="24"/>
  <c r="D21" i="24"/>
  <c r="E278" i="1"/>
  <c r="D159" i="1"/>
  <c r="C149" i="1"/>
  <c r="E129" i="1"/>
  <c r="G112" i="1"/>
  <c r="P124" i="22"/>
  <c r="P132" i="22"/>
  <c r="Q82" i="22"/>
  <c r="Q37" i="22"/>
  <c r="N37" i="22" s="1"/>
  <c r="C180" i="24"/>
  <c r="F180" i="24" s="1"/>
  <c r="G180" i="24" s="1"/>
  <c r="F104" i="1"/>
  <c r="Q108" i="22"/>
  <c r="Q109" i="22" s="1"/>
  <c r="N109" i="22" s="1"/>
  <c r="L109" i="22"/>
  <c r="P76" i="22"/>
  <c r="P85" i="22" s="1"/>
  <c r="M85" i="22" s="1"/>
  <c r="Q60" i="22"/>
  <c r="Q58" i="22"/>
  <c r="Q54" i="22"/>
  <c r="P36" i="22"/>
  <c r="Q32" i="22"/>
  <c r="E9" i="24"/>
  <c r="Q102" i="22"/>
  <c r="K133" i="22"/>
  <c r="P82" i="22"/>
  <c r="Q52" i="22"/>
  <c r="Q61" i="22" s="1"/>
  <c r="N61" i="22" s="1"/>
  <c r="L61" i="22"/>
  <c r="P32" i="22"/>
  <c r="P30" i="22"/>
  <c r="C23" i="24"/>
  <c r="B95" i="1"/>
  <c r="C16" i="24"/>
  <c r="P104" i="22"/>
  <c r="P84" i="22"/>
  <c r="P54" i="22"/>
  <c r="E20" i="24"/>
  <c r="B23" i="24"/>
  <c r="D89" i="1"/>
  <c r="P130" i="22"/>
  <c r="O133" i="22"/>
  <c r="P34" i="22"/>
  <c r="Q12" i="22"/>
  <c r="E8" i="24"/>
  <c r="C89" i="1"/>
  <c r="C90" i="1" s="1"/>
  <c r="C334" i="1"/>
  <c r="B334" i="1"/>
  <c r="G37" i="24"/>
  <c r="E22" i="24"/>
  <c r="E285" i="1"/>
  <c r="B164" i="24"/>
  <c r="D57" i="1"/>
  <c r="E207" i="24"/>
  <c r="D56" i="1"/>
  <c r="E147" i="24"/>
  <c r="G147" i="24" s="1"/>
  <c r="F194" i="24"/>
  <c r="G194" i="24" s="1"/>
  <c r="F170" i="24"/>
  <c r="G170" i="24" s="1"/>
  <c r="E21" i="24"/>
  <c r="D334" i="1"/>
  <c r="C220" i="1"/>
  <c r="C222" i="1" s="1"/>
  <c r="D222" i="1"/>
  <c r="Q85" i="22"/>
  <c r="N85" i="22" s="1"/>
  <c r="P61" i="22"/>
  <c r="M61" i="22" s="1"/>
  <c r="B132" i="24"/>
  <c r="D12" i="24"/>
  <c r="D16" i="24"/>
  <c r="B130" i="24"/>
  <c r="B131" i="24"/>
  <c r="D90" i="1"/>
  <c r="D95" i="1"/>
  <c r="P133" i="22"/>
  <c r="M133" i="22" s="1"/>
  <c r="P109" i="22"/>
  <c r="M109" i="22" s="1"/>
  <c r="P13" i="22"/>
  <c r="M13" i="22" s="1"/>
  <c r="O85" i="22"/>
  <c r="P28" i="22"/>
  <c r="H190" i="24"/>
  <c r="H176" i="24"/>
  <c r="D36" i="24"/>
  <c r="G36" i="24" s="1"/>
  <c r="F37" i="24" s="1"/>
  <c r="C55" i="1"/>
  <c r="C58" i="1"/>
  <c r="F190" i="24"/>
  <c r="G190" i="24" s="1"/>
  <c r="F176" i="24"/>
  <c r="G176" i="24" s="1"/>
  <c r="O13" i="22"/>
  <c r="F211" i="1"/>
  <c r="H183" i="24"/>
  <c r="D23" i="24"/>
  <c r="E23" i="24" s="1"/>
  <c r="E187" i="24"/>
  <c r="F187" i="24" s="1"/>
  <c r="G187" i="24" s="1"/>
  <c r="E173" i="24"/>
  <c r="F173" i="24" s="1"/>
  <c r="G173" i="24" s="1"/>
  <c r="B10" i="24"/>
  <c r="E10" i="24" s="1"/>
  <c r="E7" i="24"/>
  <c r="I183" i="24" l="1"/>
  <c r="F31" i="24"/>
  <c r="E12" i="24"/>
  <c r="Q13" i="22"/>
  <c r="N13" i="22" s="1"/>
  <c r="C95" i="1"/>
  <c r="D314" i="1" s="1"/>
  <c r="B12" i="24"/>
  <c r="P37" i="22"/>
  <c r="M37" i="22" s="1"/>
  <c r="E219" i="1"/>
  <c r="H147" i="24"/>
  <c r="I147" i="24" s="1"/>
  <c r="D58" i="1"/>
  <c r="I190" i="24"/>
  <c r="I176" i="24"/>
  <c r="B16" i="24"/>
  <c r="C125" i="24"/>
  <c r="C124" i="24"/>
  <c r="C126" i="24" l="1"/>
  <c r="C127" i="24"/>
  <c r="B126" i="24" l="1"/>
  <c r="B129" i="24" s="1"/>
  <c r="B125" i="24"/>
  <c r="B124" i="24"/>
  <c r="B127" i="24" s="1"/>
  <c r="D127" i="24" l="1"/>
  <c r="E127" i="24"/>
  <c r="D126" i="24" l="1"/>
  <c r="D125" i="24"/>
  <c r="D124" i="24"/>
  <c r="E124" i="24"/>
  <c r="E126" i="24"/>
  <c r="E125" i="24"/>
  <c r="F126" i="24" l="1"/>
  <c r="F124" i="24"/>
  <c r="F125" i="24"/>
  <c r="F127" i="24" l="1"/>
  <c r="G127" i="24" s="1"/>
  <c r="G126" i="24" l="1"/>
  <c r="C187" i="1" s="1"/>
  <c r="G125" i="24"/>
  <c r="C186" i="1" s="1"/>
  <c r="G124" i="24"/>
  <c r="C185" i="1" s="1"/>
  <c r="B185" i="1" l="1"/>
  <c r="D185" i="1"/>
  <c r="E185" i="1"/>
  <c r="C188" i="1"/>
  <c r="B136" i="24"/>
  <c r="B137" i="24"/>
  <c r="D170" i="24" s="1"/>
  <c r="D171" i="24" s="1"/>
  <c r="B186" i="1"/>
  <c r="D186" i="1"/>
  <c r="B138" i="24"/>
  <c r="E170" i="24" s="1"/>
  <c r="E171" i="24" s="1"/>
  <c r="B187" i="1"/>
  <c r="D187" i="1"/>
  <c r="D188" i="1" l="1"/>
  <c r="B188" i="1"/>
  <c r="C202" i="24"/>
  <c r="D174" i="24"/>
  <c r="B139" i="24"/>
  <c r="C170" i="24"/>
  <c r="C171" i="24" s="1"/>
  <c r="C172" i="24"/>
  <c r="E174" i="24"/>
  <c r="D202" i="24"/>
  <c r="D172" i="24"/>
  <c r="E172" i="24" s="1"/>
  <c r="E175" i="24" s="1"/>
  <c r="E178" i="24" s="1"/>
  <c r="F172" i="24" l="1"/>
  <c r="G172" i="24" s="1"/>
  <c r="D175" i="24"/>
  <c r="D178" i="24" s="1"/>
  <c r="B202" i="24"/>
  <c r="E202" i="24" s="1"/>
  <c r="F171" i="24"/>
  <c r="C174" i="24"/>
  <c r="F174" i="24" s="1"/>
  <c r="G174" i="24" s="1"/>
  <c r="D179" i="24"/>
  <c r="D203" i="24"/>
  <c r="C179" i="24"/>
  <c r="E181" i="24"/>
  <c r="C175" i="24" l="1"/>
  <c r="C178" i="24"/>
  <c r="F175" i="24"/>
  <c r="G175" i="24" s="1"/>
  <c r="G171" i="24"/>
  <c r="J171" i="24"/>
  <c r="E179" i="24"/>
  <c r="E182" i="24" s="1"/>
  <c r="E185" i="24" s="1"/>
  <c r="C203" i="24"/>
  <c r="D181" i="24"/>
  <c r="D182" i="24" s="1"/>
  <c r="D185" i="24" s="1"/>
  <c r="F179" i="24" l="1"/>
  <c r="G179" i="24" s="1"/>
  <c r="B203" i="24"/>
  <c r="E203" i="24" s="1"/>
  <c r="C181" i="24"/>
  <c r="F181" i="24" s="1"/>
  <c r="G181" i="24" s="1"/>
  <c r="F178" i="24"/>
  <c r="D188" i="24"/>
  <c r="C204" i="24"/>
  <c r="E188" i="24"/>
  <c r="C186" i="24"/>
  <c r="D204" i="24"/>
  <c r="D186" i="24"/>
  <c r="E186" i="24" s="1"/>
  <c r="E189" i="24" s="1"/>
  <c r="E192" i="24" s="1"/>
  <c r="D189" i="24" l="1"/>
  <c r="D192" i="24" s="1"/>
  <c r="C205" i="24" s="1"/>
  <c r="D195" i="24"/>
  <c r="F186" i="24"/>
  <c r="G186" i="24" s="1"/>
  <c r="D193" i="24"/>
  <c r="E193" i="24" s="1"/>
  <c r="C193" i="24"/>
  <c r="E195" i="24"/>
  <c r="D205" i="24"/>
  <c r="D177" i="24"/>
  <c r="C177" i="24"/>
  <c r="G178" i="24"/>
  <c r="J178" i="24"/>
  <c r="E177" i="24"/>
  <c r="C182" i="24"/>
  <c r="E196" i="24" l="1"/>
  <c r="F193" i="24"/>
  <c r="G193" i="24" s="1"/>
  <c r="D196" i="24"/>
  <c r="F182" i="24"/>
  <c r="G182" i="24" s="1"/>
  <c r="C185" i="24"/>
  <c r="F185" i="24" l="1"/>
  <c r="C184" i="24" s="1"/>
  <c r="C188" i="24"/>
  <c r="F188" i="24" s="1"/>
  <c r="G188" i="24" s="1"/>
  <c r="B204" i="24"/>
  <c r="E204" i="24" s="1"/>
  <c r="G185" i="24" l="1"/>
  <c r="D184" i="24"/>
  <c r="E184" i="24"/>
  <c r="J185" i="24"/>
  <c r="C189" i="24"/>
  <c r="C192" i="24" l="1"/>
  <c r="F189" i="24"/>
  <c r="G189" i="24" s="1"/>
  <c r="C195" i="24" l="1"/>
  <c r="F195" i="24" s="1"/>
  <c r="G195" i="24" s="1"/>
  <c r="C196" i="24"/>
  <c r="F196" i="24" s="1"/>
  <c r="G196" i="24" s="1"/>
  <c r="B205" i="24"/>
  <c r="E205" i="24" s="1"/>
  <c r="F192" i="24"/>
  <c r="D191" i="24" l="1"/>
  <c r="G192" i="24"/>
  <c r="E191" i="24"/>
  <c r="J192" i="24"/>
  <c r="C191" i="2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Sjöberg Ingemar</author>
  </authors>
  <commentList>
    <comment ref="C1" authorId="0" shapeId="0" xr:uid="{00000000-0006-0000-0300-000001000000}">
      <text>
        <r>
          <rPr>
            <b/>
            <sz val="9"/>
            <color rgb="FF000000"/>
            <rFont val="Tahoma"/>
            <family val="2"/>
          </rPr>
          <t>Älgskötsel-områdets namn</t>
        </r>
        <r>
          <rPr>
            <sz val="9"/>
            <color rgb="FF000000"/>
            <rFont val="Tahoma"/>
            <family val="2"/>
          </rPr>
          <t xml:space="preserve">
</t>
        </r>
      </text>
    </comment>
    <comment ref="E5" authorId="0" shapeId="0" xr:uid="{00000000-0006-0000-0300-000002000000}">
      <text>
        <r>
          <rPr>
            <b/>
            <sz val="9"/>
            <color rgb="FF000000"/>
            <rFont val="Tahoma"/>
            <family val="2"/>
          </rPr>
          <t>Fyll i Länsstyrelsens diarienummer (om det är känt)</t>
        </r>
        <r>
          <rPr>
            <sz val="9"/>
            <color rgb="FF000000"/>
            <rFont val="Tahoma"/>
            <family val="2"/>
          </rPr>
          <t xml:space="preserve">
</t>
        </r>
      </text>
    </comment>
    <comment ref="C6" authorId="0" shapeId="0" xr:uid="{00000000-0006-0000-0300-000003000000}">
      <text>
        <r>
          <rPr>
            <sz val="9"/>
            <color rgb="FF000000"/>
            <rFont val="Tahoma"/>
            <family val="2"/>
          </rPr>
          <t xml:space="preserve">Ang datum för upprättande eller revidering av denna älgskötselplan
</t>
        </r>
      </text>
    </comment>
    <comment ref="C8" authorId="0" shapeId="0" xr:uid="{00000000-0006-0000-0300-000004000000}">
      <text>
        <r>
          <rPr>
            <b/>
            <sz val="9"/>
            <color rgb="FF000000"/>
            <rFont val="Tahoma"/>
            <family val="2"/>
          </rPr>
          <t>Länsstyrelsens reg nr.</t>
        </r>
        <r>
          <rPr>
            <sz val="9"/>
            <color rgb="FF000000"/>
            <rFont val="Tahoma"/>
            <family val="2"/>
          </rPr>
          <t xml:space="preserve">
lämnas tom vid nytt område som inte fått reg nr. av Länsstyrelsen</t>
        </r>
      </text>
    </comment>
    <comment ref="D12" authorId="0" shapeId="0" xr:uid="{00000000-0006-0000-0300-000005000000}">
      <text>
        <r>
          <rPr>
            <b/>
            <sz val="9"/>
            <color rgb="FF000000"/>
            <rFont val="Tahoma"/>
            <family val="2"/>
          </rPr>
          <t xml:space="preserve">Ange om arealen är beslutad av Länsstyrelsen eller om det är en ansökt areal  vid nytt eller minskat/utökat älgskötselområde </t>
        </r>
        <r>
          <rPr>
            <sz val="9"/>
            <color rgb="FF000000"/>
            <rFont val="Tahoma"/>
            <family val="2"/>
          </rPr>
          <t xml:space="preserve">
</t>
        </r>
      </text>
    </comment>
    <comment ref="C13" authorId="0" shapeId="0" xr:uid="{00000000-0006-0000-0300-000006000000}">
      <text>
        <r>
          <rPr>
            <b/>
            <sz val="9"/>
            <color rgb="FF000000"/>
            <rFont val="Tahoma"/>
            <family val="2"/>
          </rPr>
          <t>Åkermark</t>
        </r>
        <r>
          <rPr>
            <sz val="9"/>
            <color rgb="FF000000"/>
            <rFont val="Tahoma"/>
            <family val="2"/>
          </rPr>
          <t xml:space="preserve">
Informaton om åkermarkens storlek. Arealen används inte i skötselplanens beräkningar.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Sjöberg Ingemar</author>
  </authors>
  <commentList>
    <comment ref="A1" authorId="0" shapeId="0" xr:uid="{00000000-0006-0000-0600-000001000000}">
      <text>
        <r>
          <rPr>
            <b/>
            <sz val="9"/>
            <color rgb="FF000000"/>
            <rFont val="Tahoma"/>
            <family val="2"/>
          </rPr>
          <t>Sammanställningav uppgifter från fliken "Skötselplan"</t>
        </r>
        <r>
          <rPr>
            <sz val="9"/>
            <color rgb="FF000000"/>
            <rFont val="Tahoma"/>
            <family val="2"/>
          </rPr>
          <t xml:space="preserve">
</t>
        </r>
      </text>
    </comment>
    <comment ref="A40" authorId="0" shapeId="0" xr:uid="{00000000-0006-0000-0600-000002000000}">
      <text>
        <r>
          <rPr>
            <b/>
            <sz val="9"/>
            <color rgb="FF000000"/>
            <rFont val="Tahoma"/>
            <family val="2"/>
          </rPr>
          <t>Fylls endast i om flyginventering enligt dokomenterad metodik genomförts</t>
        </r>
        <r>
          <rPr>
            <sz val="9"/>
            <color rgb="FF000000"/>
            <rFont val="Tahoma"/>
            <family val="2"/>
          </rPr>
          <t xml:space="preserve">
</t>
        </r>
      </text>
    </comment>
    <comment ref="B76" authorId="0" shapeId="0" xr:uid="{00000000-0006-0000-0600-000003000000}">
      <text>
        <r>
          <rPr>
            <b/>
            <sz val="9"/>
            <color rgb="FF000000"/>
            <rFont val="Tahoma"/>
            <family val="2"/>
          </rPr>
          <t>Samma antal älgar/1000 ha som unde bedömd vinterstam punkt 2.1.6 i skötselplanen. Datat i diagrammen ovan är till hälp för bedömning av älgstammens täthet.</t>
        </r>
        <r>
          <rPr>
            <sz val="9"/>
            <color rgb="FF000000"/>
            <rFont val="Tahoma"/>
            <family val="2"/>
          </rPr>
          <t xml:space="preserve">
</t>
        </r>
      </text>
    </comment>
    <comment ref="B99" authorId="0" shapeId="0" xr:uid="{00000000-0006-0000-0600-000004000000}">
      <text>
        <r>
          <rPr>
            <b/>
            <sz val="9"/>
            <color rgb="FF000000"/>
            <rFont val="Tahoma"/>
            <family val="2"/>
          </rPr>
          <t>Anges som andel kalvar av vuxna hondjur, tex. 0,8</t>
        </r>
        <r>
          <rPr>
            <sz val="9"/>
            <color rgb="FF000000"/>
            <rFont val="Tahoma"/>
            <family val="2"/>
          </rPr>
          <t xml:space="preserve">
</t>
        </r>
      </text>
    </comment>
    <comment ref="B136" authorId="0" shapeId="0" xr:uid="{00000000-0006-0000-0600-000005000000}">
      <text>
        <r>
          <rPr>
            <b/>
            <sz val="9"/>
            <color rgb="FF000000"/>
            <rFont val="Tahoma"/>
            <family val="2"/>
          </rPr>
          <t>Andel tjur av totala stammen</t>
        </r>
        <r>
          <rPr>
            <sz val="9"/>
            <color rgb="FF000000"/>
            <rFont val="Tahoma"/>
            <family val="2"/>
          </rPr>
          <t xml:space="preserve">
</t>
        </r>
      </text>
    </comment>
    <comment ref="B137" authorId="0" shapeId="0" xr:uid="{00000000-0006-0000-0600-000006000000}">
      <text>
        <r>
          <rPr>
            <b/>
            <sz val="9"/>
            <color rgb="FF000000"/>
            <rFont val="Tahoma"/>
            <family val="2"/>
          </rPr>
          <t>Andel vuxna hondjur av totala stammen</t>
        </r>
        <r>
          <rPr>
            <sz val="9"/>
            <color rgb="FF000000"/>
            <rFont val="Tahoma"/>
            <family val="2"/>
          </rPr>
          <t xml:space="preserve">
</t>
        </r>
      </text>
    </comment>
    <comment ref="B138" authorId="0" shapeId="0" xr:uid="{00000000-0006-0000-0600-000007000000}">
      <text>
        <r>
          <rPr>
            <b/>
            <sz val="9"/>
            <color rgb="FF000000"/>
            <rFont val="Tahoma"/>
            <family val="2"/>
          </rPr>
          <t>Andel kalv av den totala stammanen</t>
        </r>
        <r>
          <rPr>
            <sz val="9"/>
            <color rgb="FF000000"/>
            <rFont val="Tahoma"/>
            <family val="2"/>
          </rPr>
          <t xml:space="preserve">
</t>
        </r>
      </text>
    </comment>
    <comment ref="A147" authorId="0" shapeId="0" xr:uid="{00000000-0006-0000-0600-000008000000}">
      <text>
        <r>
          <rPr>
            <sz val="9"/>
            <color rgb="FF000000"/>
            <rFont val="Tahoma"/>
            <family val="2"/>
          </rPr>
          <t>Baserat på uppgifterna i skötselplanen</t>
        </r>
      </text>
    </comment>
    <comment ref="F147" authorId="0" shapeId="0" xr:uid="{00000000-0006-0000-0600-000009000000}">
      <text>
        <r>
          <rPr>
            <sz val="9"/>
            <color rgb="FF000000"/>
            <rFont val="Tahoma"/>
            <family val="2"/>
          </rPr>
          <t xml:space="preserve">Anger den  normala reproduktionen (vuxna djur +födda kalvar). Normala värden 1,3 -1,4. 
</t>
        </r>
      </text>
    </comment>
    <comment ref="I147" authorId="0" shapeId="0" xr:uid="{00000000-0006-0000-0600-00000A000000}">
      <text>
        <r>
          <rPr>
            <b/>
            <sz val="9"/>
            <color rgb="FF000000"/>
            <rFont val="Tahoma"/>
            <family val="2"/>
          </rPr>
          <t>Baserad på registrerade dödligheten i skötselplanen</t>
        </r>
        <r>
          <rPr>
            <sz val="9"/>
            <color rgb="FF000000"/>
            <rFont val="Tahoma"/>
            <family val="2"/>
          </rPr>
          <t xml:space="preserve">
</t>
        </r>
      </text>
    </comment>
    <comment ref="A149" authorId="0" shapeId="0" xr:uid="{00000000-0006-0000-0600-00000B000000}">
      <text>
        <r>
          <rPr>
            <sz val="9"/>
            <color rgb="FF000000"/>
            <rFont val="Tahoma"/>
            <family val="2"/>
          </rPr>
          <t>Dödlighet är antalet älgar som dör under året. Jakten står för merparten av dödligheten, men dessutom tillkommer dödlighet i form av trafikolyckor, (predation)* och övrig dödlighet t.ex. ålder, sjukdomar eller ej trafikrelaterade olyckor.</t>
        </r>
        <r>
          <rPr>
            <b/>
            <sz val="9"/>
            <color rgb="FF000000"/>
            <rFont val="Tahoma"/>
            <family val="2"/>
          </rPr>
          <t xml:space="preserve"> Normalt intrvall ca 4-5 % .</t>
        </r>
        <r>
          <rPr>
            <sz val="9"/>
            <color rgb="FF000000"/>
            <rFont val="Tahoma"/>
            <family val="2"/>
          </rPr>
          <t>Värdet kan vara betydligt högre i områden med mycket viltolyckor eller (rovdjurspredation)*
*Rovdjursredationen beräknas inte här eftersom den redovisas direkt i avskjutningsberäkningen</t>
        </r>
      </text>
    </comment>
    <comment ref="B151" authorId="0" shapeId="0" xr:uid="{00000000-0006-0000-0600-00000C000000}">
      <text>
        <r>
          <rPr>
            <b/>
            <sz val="9"/>
            <color rgb="FF000000"/>
            <rFont val="Tahoma"/>
            <family val="2"/>
          </rPr>
          <t>Övrig dödlighet:
Ange % beräknad dödlighet utöver jakt</t>
        </r>
        <r>
          <rPr>
            <sz val="9"/>
            <color rgb="FF000000"/>
            <rFont val="Tahoma"/>
            <family val="2"/>
          </rPr>
          <t xml:space="preserve">
</t>
        </r>
      </text>
    </comment>
    <comment ref="A165" authorId="0" shapeId="0" xr:uid="{00000000-0006-0000-0600-00000D000000}">
      <text>
        <r>
          <rPr>
            <sz val="9"/>
            <color rgb="FF000000"/>
            <rFont val="Tahoma"/>
            <family val="2"/>
          </rPr>
          <t xml:space="preserve">Normalt föds det något fler tjurkalvar än kvigkalvar. Ca 52 % tjurkalv.
</t>
        </r>
      </text>
    </comment>
  </commentList>
</comments>
</file>

<file path=xl/sharedStrings.xml><?xml version="1.0" encoding="utf-8"?>
<sst xmlns="http://schemas.openxmlformats.org/spreadsheetml/2006/main" count="1854" uniqueCount="1349">
  <si>
    <t>Förutsättningar till ÄSP-mallen</t>
  </si>
  <si>
    <t>Versionshantering</t>
  </si>
  <si>
    <t>Rättning/Ändring</t>
  </si>
  <si>
    <t>Plats</t>
  </si>
  <si>
    <t>Version 2.0 uppdaterad 2018-03-16</t>
  </si>
  <si>
    <t>Förutsättningar ÄFP-mall uppdaterade</t>
  </si>
  <si>
    <t>Flik "Förutsättningar"</t>
  </si>
  <si>
    <t>Färgernas avsikt:</t>
  </si>
  <si>
    <t>Ny funktion. Ärendekort, för hantering av ärende och personuppgifter (flyttats från Skötselplanen)</t>
  </si>
  <si>
    <t>Flik "Ärendekort"</t>
  </si>
  <si>
    <t>- Gul är obligatoriska fält och hämtas i första hand från portalen*</t>
  </si>
  <si>
    <t>Mål för vinterstam älg/1000 ha (delmål inom period borttagna)</t>
  </si>
  <si>
    <t>Punkt 1.1</t>
  </si>
  <si>
    <t>- Brunröd är valfria fält</t>
  </si>
  <si>
    <t>Skogliga mål anpassade enligt ÄBIN redovisning mm.</t>
  </si>
  <si>
    <t>Punkt 1.2</t>
  </si>
  <si>
    <t>- Ljusblå, data som förs över till älgfrode</t>
  </si>
  <si>
    <t>Ny funktion. Beräkning medelvärde älgobs</t>
  </si>
  <si>
    <t>Punkt 2.1.2</t>
  </si>
  <si>
    <t>- Grå, data som kan hämtas från älgfrode</t>
  </si>
  <si>
    <t>Ny funktion. Beräknad sammansättning vid periodens start</t>
  </si>
  <si>
    <t>Punkt 2.1.9</t>
  </si>
  <si>
    <t>- Gröna fält ifylls av Länsstyrelsen</t>
  </si>
  <si>
    <t>Ny funkton. Sammanställt beräkningsvärde för analys i Älgfrode</t>
  </si>
  <si>
    <t>Punkt 2.1.10</t>
  </si>
  <si>
    <t>- Vita fält beräknas/fylls med automatik</t>
  </si>
  <si>
    <t>Sammanfattning mål och nuläge, uppdaterad</t>
  </si>
  <si>
    <t>Punkt 3</t>
  </si>
  <si>
    <t xml:space="preserve">* Uppgifter som är ifyllda när planen öppnas hämtas från databasen i älgdata.se. Andra obligatoriska uppgifter fyll in manuellt. </t>
  </si>
  <si>
    <t>Version 2.1 uppdaterad 2018-04-18</t>
  </si>
  <si>
    <t>Älgstammens egenskaper enligt älgobs. Medel 2 år ändrad till Medel 3 år (anpassning till parametrar i Älgfrode)</t>
  </si>
  <si>
    <t>Buggrättning. Färska skador tallar/produktionstammar, max</t>
  </si>
  <si>
    <t>Ytteligare statistik som behövs för att ta fram planen finns på www.älgdata.se, och på andra hemsidor (se länkar i planmallen och på www.älgdata.se)</t>
  </si>
  <si>
    <t>Versionshantering från 2018-03-16 införd</t>
  </si>
  <si>
    <t>Version 2.2 uppdaterad 2021-06-30</t>
  </si>
  <si>
    <t>Format på tal under 5000 mantimmar i älgobsen</t>
  </si>
  <si>
    <t>Arbetsgång</t>
  </si>
  <si>
    <t>Beräkning medelvärde rättad</t>
  </si>
  <si>
    <t>- Fyll i fliken "Ärendekort"</t>
  </si>
  <si>
    <t>Anpassning till Skogsstyrelsens ÄBIN-rapport</t>
  </si>
  <si>
    <t>Punkt 2.2.1</t>
  </si>
  <si>
    <t xml:space="preserve">- Ta fram fliken "Skötselplan", följ instuktionerna </t>
  </si>
  <si>
    <t>Första inventeringsår ändrat till innevarande år</t>
  </si>
  <si>
    <t>Punkt 4.3</t>
  </si>
  <si>
    <t>- Avskjutningsberäningen görs i älgfrode efter att uppgifterna till punkt 4. "HANDLINGSPLAN FRÅN NULÄGE TILL MÅLUPPFYLLNAD" har fyllts i (huvudsakligen)</t>
  </si>
  <si>
    <t>Punkt 4.2</t>
  </si>
  <si>
    <t>- Vid behov kan man behöva arbeta vidare i en punkt längre fram i planen eller växla till älgfrode under arbetet för bästa resultat</t>
  </si>
  <si>
    <t>Hjälptexter och länkar uppdaterade</t>
  </si>
  <si>
    <t>Kolumn J</t>
  </si>
  <si>
    <t>- Fyll i avskjutningen i planen.</t>
  </si>
  <si>
    <t>Naturvårdsverkets föreskrifter och allmänna råd om jakt efter älg och kronhjort;</t>
  </si>
  <si>
    <t>Flik "NFS 2011-7"</t>
  </si>
  <si>
    <t>- Underteckna och lämna planen till älgförvaltningsgruppen och Länsstyrelsen enligt de rutiner som fastställts i länet</t>
  </si>
  <si>
    <t>Version 2.2.1 uppdaterad 2021-10-14</t>
  </si>
  <si>
    <t>Indata antal vägda djur uppdaterad</t>
  </si>
  <si>
    <t>Punk2.1-4 och 2.1.5</t>
  </si>
  <si>
    <t>Synpunkter</t>
  </si>
  <si>
    <t>Version 2.2.2 uppdaterad 2023-03-24</t>
  </si>
  <si>
    <t xml:space="preserve">Inläsning av data från databas till Skogsstyrelsens ÄBIN-rapport </t>
  </si>
  <si>
    <t>Skötselplanen har utvecklats i nära samarbete med  representanter för jägarnas-, markägarnas och skogsbrukets organisationer. Ambitionen är ett verktyg som fyller behovet i den adaptiva älgförvalningen.</t>
  </si>
  <si>
    <t>Version 2.2.3 uppdaterad 2023-04-11</t>
  </si>
  <si>
    <t>Sammanställning anpassad till redovisade ÄBIN uppgifter</t>
  </si>
  <si>
    <t>För att kunna förbättra planmallen i framtiden tar vi gärna emot konkreta förslag och synpunkter. Skickas till:</t>
  </si>
  <si>
    <t>algdata@lansstyrelsen.se</t>
  </si>
  <si>
    <t>Älgskötselområden</t>
  </si>
  <si>
    <t xml:space="preserve">27 § En älgskötselplan ska bifogas ansökan om registrering av älgskötselområde och ska fastställas av länsstyrelsen. Älgskötselplanen ska bidra till en adaptiv förvaltning och till att älgförvaltningsplanens mål genomförs. Planen ska tas fram efter samråd med älgförvaltningsgruppen. </t>
  </si>
  <si>
    <t>En älgskötselplan omfattar en period om tre år, om inte länsstyrelsen beslutar annat, och ska alltid innehålla.</t>
  </si>
  <si>
    <t>1. en beskrivning av den långsiktiga målsättningen för skötseln av älg- stammen inom området,</t>
  </si>
  <si>
    <t>2.  en uppföljning av föregående älgskötselplan,</t>
  </si>
  <si>
    <t>3. en bedömning av förekomsten av älg inom området, fördelat på tjur, ko och kalv, utifrån vinterstam och i förekommande fall uppdelad på fast stam och vandringsälgar,</t>
  </si>
  <si>
    <t>4. en beskrivning av betessituationen i området och vilka åtgärder som ska vidtas för att begränsa skador av älg på gröda och skog inklusive biologisk mångfald,</t>
  </si>
  <si>
    <t xml:space="preserve">5. en beskrivning av de åtgärder som kan vidtas om uppsatta mål för för- valtningen inte ser ut att kunna uppnås, exempelvis för att minska risken för trafikskador orsakade av älg, </t>
  </si>
  <si>
    <t xml:space="preserve">6. en redovisning av de inventeringar som planeras att genomföras under planperioden, </t>
  </si>
  <si>
    <t xml:space="preserve">7.  uppgift om hur stor den årliga avskjutningen bör vara fördelat på tjur, ko och årskalv samt </t>
  </si>
  <si>
    <t>8. älgförvaltningsgruppens skriftliga tillstyrkan av älgskötselplanen</t>
  </si>
  <si>
    <t>Skulle älgförvaltningsgruppen inte tillstyrka att länsstyrelsen fastställer älgskötselplanen ska länsstyrelsen ta ställning till om planen ändå kan fastställas. Företrädare för älgskötselområdet ska minst en gång om året göra en uppföljning av älgskötselplanen och vid behov vidta åtgärder och föreslå ändringar för länsstyrelsens fastställande. Företrädare för älgskötselområdet ska också, i god tid före det att planperioden går ut, inkomma med en ny plan, framtagen enligt ovan.</t>
  </si>
  <si>
    <t xml:space="preserve"> </t>
  </si>
  <si>
    <t xml:space="preserve"> 28 § Företrädare för älgskötselområdet ska se till att årliga protokollförda samråd hålls med berörda fastighetsägare, jakträttshavare och viltvårdsområdesföreningar inom älgskötselområdet samt att området deltar i älgförvaltningsområdets samråd. Samrådsprotokollen för älgskötselområde ska bevaras under minst fem år och ska på begäran ges in till länsstyrelsen.</t>
  </si>
  <si>
    <t>29 § Länsstyrelsen ska regelbundet och minst vart tredje år, på eget initiativ eller efter framställan av älgförvaltningsgruppen, göra en översyn av älgskötselplanerna och vid behov vidta åtgärder. Avregistrering av älgskötselområdet kan ske om översynen visar att det finns fog för det.</t>
  </si>
  <si>
    <t>30 § I län med förvaltning av älgar i vandringsområden ska samråd ske mellan länsstyrelserna i de län som berörs. Samrådet ska i vart fall gälla utformningen av en gemensam målsättning för skötseln av älgstammen och principer för registrering av älgskötselområden.</t>
  </si>
  <si>
    <t>Länk till Naturvårdsverkets föreskrifter och allmänna råd om jakt
efter älg och kronhjort;</t>
  </si>
  <si>
    <t>www.naturvardsverket.se/Documents/foreskrifter/nfs2011/nfs-2011-07.pdf</t>
  </si>
  <si>
    <t>Ärendekort</t>
  </si>
  <si>
    <t>Ansökan om:</t>
  </si>
  <si>
    <t>För perioden, jaktåret</t>
  </si>
  <si>
    <t>till och med</t>
  </si>
  <si>
    <t>Namn område</t>
  </si>
  <si>
    <t>Länsstyrelsens reg.nummer</t>
  </si>
  <si>
    <t>Till befintligt ärende</t>
  </si>
  <si>
    <t>Fyll i uppgifterna i nedan och lämna ärendekortet till Länsstyrelsen som försättsblad till skötselplanen</t>
  </si>
  <si>
    <t>Företädare för älgskötselområdet</t>
  </si>
  <si>
    <t>Namn</t>
  </si>
  <si>
    <t>Telefon 1</t>
  </si>
  <si>
    <t>Telefon 2</t>
  </si>
  <si>
    <t>Aderss</t>
  </si>
  <si>
    <t>Telefon 3</t>
  </si>
  <si>
    <t>Postnummer och ort</t>
  </si>
  <si>
    <t>E-postadress</t>
  </si>
  <si>
    <t>Födelsedatum</t>
  </si>
  <si>
    <t>Namn på älgskötselområdet</t>
  </si>
  <si>
    <t>Namn på ÄSO</t>
  </si>
  <si>
    <t>Typ av plan</t>
  </si>
  <si>
    <t>Diarieföring av älgskötselplanen</t>
  </si>
  <si>
    <t>Version (datum)</t>
  </si>
  <si>
    <t>Ange datum då planen skrivs/ändras</t>
  </si>
  <si>
    <t>Registreringsnummer enligt Länsstyrelsens registreringsbeslut (ex. 01-01-01-001)</t>
  </si>
  <si>
    <t>Älgskötselplan för perioden</t>
  </si>
  <si>
    <t>Planperiod, omfattar åren</t>
  </si>
  <si>
    <t>Reviderad datum</t>
  </si>
  <si>
    <t>Ange senaste datum för revidering (dag då planen signeras)</t>
  </si>
  <si>
    <t>Revidering orsak</t>
  </si>
  <si>
    <t>Välj ett av alternativen i listan</t>
  </si>
  <si>
    <t>Total areal ÄSO (ha)</t>
  </si>
  <si>
    <t>Ange om arelen överensstämmer med Länsstyrelsens registreringsbeslut eller om arealen avser ett nytt/förändrat område</t>
  </si>
  <si>
    <t>Areal åkermark i ha</t>
  </si>
  <si>
    <t>(Arealen används inte i beräkningar, beräkninga baseras på total areal)</t>
  </si>
  <si>
    <t>Registrerande län</t>
  </si>
  <si>
    <t>Enligt beslut från LST (län som administrerar ÄSO)</t>
  </si>
  <si>
    <t xml:space="preserve">ÄFO nummer </t>
  </si>
  <si>
    <t>Äfo som äso tillhör</t>
  </si>
  <si>
    <t>ÄFO namn</t>
  </si>
  <si>
    <t>Anges av LST</t>
  </si>
  <si>
    <t>Fastställd av länsstyrelsen den</t>
  </si>
  <si>
    <t>Länsstyrelsens ärendenr</t>
  </si>
  <si>
    <t>Länsstyrelsens noteringar och villkor för beslut om fastställande av planen:</t>
  </si>
  <si>
    <t>INNEHÅLL:</t>
  </si>
  <si>
    <r>
      <rPr>
        <b/>
        <sz val="14"/>
        <color theme="1"/>
        <rFont val="Calibri"/>
        <family val="2"/>
      </rPr>
      <t>1. MÅLSÄTTNINGAR</t>
    </r>
    <r>
      <rPr>
        <sz val="14"/>
        <color theme="1"/>
        <rFont val="Calibri"/>
        <family val="2"/>
      </rPr>
      <t xml:space="preserve">
1.1 Älgstammen
1.2 Skog och betesskador</t>
    </r>
  </si>
  <si>
    <r>
      <rPr>
        <b/>
        <sz val="14"/>
        <color theme="1"/>
        <rFont val="Calibri"/>
        <family val="2"/>
      </rPr>
      <t>2. NULÄGESBESKRIVNING</t>
    </r>
    <r>
      <rPr>
        <sz val="14"/>
        <color theme="1"/>
        <rFont val="Calibri"/>
        <family val="2"/>
      </rPr>
      <t xml:space="preserve">
2.1 Uppgifter om älgstammen
2.2 Uppgifter om skogstillstånd och betesskador
2.3 Skador på gröda
2.4 Trafikolyckor med älg
2.5 Övrig dödlighet
2.6 Predation</t>
    </r>
  </si>
  <si>
    <t>3. SAMMANFATTNING MÅLSÄTTNINGAR OCH NULÄGE</t>
  </si>
  <si>
    <r>
      <rPr>
        <b/>
        <sz val="14"/>
        <color theme="1"/>
        <rFont val="Calibri"/>
        <family val="2"/>
      </rPr>
      <t>4. HANDLINGSPLAN FRÅN NULÄGE TILL MÅLUPPFYLLNAD</t>
    </r>
    <r>
      <rPr>
        <sz val="14"/>
        <color theme="1"/>
        <rFont val="Calibri"/>
        <family val="2"/>
      </rPr>
      <t xml:space="preserve">
4.1 Planerad avskjutning 
4.2 Avskjutningsförslag licensområden
4.3 Planerade inventeringar</t>
    </r>
  </si>
  <si>
    <r>
      <rPr>
        <b/>
        <sz val="14"/>
        <color theme="1"/>
        <rFont val="Calibri"/>
        <family val="2"/>
      </rPr>
      <t>5. ÖVRIGT</t>
    </r>
    <r>
      <rPr>
        <sz val="14"/>
        <color theme="1"/>
        <rFont val="Calibri"/>
        <family val="2"/>
      </rPr>
      <t xml:space="preserve">
5.1 Redogörelse för samråd och förankringsprocessen inom äso.
5.2 Bilagor</t>
    </r>
  </si>
  <si>
    <t>1. MÅLSÄTTNINGAR</t>
  </si>
  <si>
    <t xml:space="preserve">1.1 Mål för älgstammens utveckling inom älgskötselområdet </t>
  </si>
  <si>
    <t xml:space="preserve">Kvantitativ målsättning för treårsperioden </t>
  </si>
  <si>
    <t>Antal de kommande 3 åren</t>
  </si>
  <si>
    <t>Öka</t>
  </si>
  <si>
    <t>Oförändrad</t>
  </si>
  <si>
    <t>Minska</t>
  </si>
  <si>
    <t>Älgstammen ska</t>
  </si>
  <si>
    <t>Markera med kryss önskad riktning för älgstammens numerär under planperioden.</t>
  </si>
  <si>
    <t>Med hänsyn till:</t>
  </si>
  <si>
    <t>Ange skäl till föreslag avseende vinterstammens nivå</t>
  </si>
  <si>
    <t>Kvantitativ målsättning för treårsperioden (3-års medelvärden)</t>
  </si>
  <si>
    <t>antal</t>
  </si>
  <si>
    <t>antal/1000 ha</t>
  </si>
  <si>
    <t>%</t>
  </si>
  <si>
    <t>Kvantitativa målsättningar för älgstammen inom äso, uttyckt i treårsmedlevärden. Relateras till ÄFP.</t>
  </si>
  <si>
    <t>Tjur</t>
  </si>
  <si>
    <t>Målsättning (treårsmedlevärde) för antal tjurar.</t>
  </si>
  <si>
    <t>Ko</t>
  </si>
  <si>
    <t>Målsättning (treårsmedlevärde) för antal kor.</t>
  </si>
  <si>
    <t>Kalv</t>
  </si>
  <si>
    <t>Målsättning (treårsmedlevärde) för antal kalvar.</t>
  </si>
  <si>
    <t>Totalt</t>
  </si>
  <si>
    <t>Summerad målsättning (treårsmedlevärde).</t>
  </si>
  <si>
    <t>Mål för vinterstam</t>
  </si>
  <si>
    <t>Vinterstam älg/ 1000 ha</t>
  </si>
  <si>
    <t xml:space="preserve">efter jakt </t>
  </si>
  <si>
    <t>Uttryck målsättningen ovan i antal älgar med en decimal per hektar registrerad jaktmark inom ÄSO för respektive år.</t>
  </si>
  <si>
    <t>Kvalitativ målsättning för treårsperioden (3-års medelvärden)</t>
  </si>
  <si>
    <t>Kvalitativa målsättningar för älgstammen inom ÄSO, uttyckt i treårsmedlevärden. Relateras till Länsplaner.</t>
  </si>
  <si>
    <t>Andel tjur av vuxna:</t>
  </si>
  <si>
    <t>i älgobs</t>
  </si>
  <si>
    <t>Målsättning (treårsmedlevärde) för tjurandel av vuxna älgar i älgobs, ange i procent som heltal.</t>
  </si>
  <si>
    <t>Antal kalvar per hondjur:</t>
  </si>
  <si>
    <t>uttryckt som ett decimaltal enligt älgobs</t>
  </si>
  <si>
    <t>Målsättning (treårsmedelvärde) för antal kalvar per hondjur i älgobs, ange med en decimal.</t>
  </si>
  <si>
    <t>Målsättning kalvandel i avskjutning:</t>
  </si>
  <si>
    <t>av totala avskjutningen</t>
  </si>
  <si>
    <t>Målsättning (treårsmedelvärde) för kalvandel i total avskjutning, ange i procent som heltal.</t>
  </si>
  <si>
    <t>Slaktvikter kalv (kg)</t>
  </si>
  <si>
    <t>i medelvikt för alla vägda kalvar från jaktstart</t>
  </si>
  <si>
    <t>Likartat avskjutningsförfarande år från år ger ett rättvisande medelvärde, oavsett kalvarnas kön och när på året de skjuts.</t>
  </si>
  <si>
    <t>Redogörelse av inventeringsundelag för beräkning av älgstammens sammansättning i området.</t>
  </si>
  <si>
    <r>
      <rPr>
        <b/>
        <sz val="16"/>
        <color theme="1"/>
        <rFont val="Calibri"/>
        <family val="2"/>
      </rPr>
      <t xml:space="preserve">1.2 Övergripande målsättningar för skogens utveckling inom </t>
    </r>
    <r>
      <rPr>
        <b/>
        <i/>
        <u/>
        <sz val="16"/>
        <color theme="1"/>
        <rFont val="Calibri"/>
        <family val="2"/>
      </rPr>
      <t>ÄLGFÖRVALTNINGSOMRÅDET</t>
    </r>
  </si>
  <si>
    <t>Tallar</t>
  </si>
  <si>
    <t>Maximal årsskada (vinterskada + sommarskada)</t>
  </si>
  <si>
    <t>Ange i %</t>
  </si>
  <si>
    <t>Skadenivå för ÄFO enligt resultat från Äbin. Anges i procent med en decimal.</t>
  </si>
  <si>
    <t>Granar</t>
  </si>
  <si>
    <t>ANDEL oskadade av klövvilt vid 5 m</t>
  </si>
  <si>
    <t>Målsättning avseende Äbinsiffror för inventerade tallar inom ÄFO som helhet. Anges i procent, heltal.</t>
  </si>
  <si>
    <t>ANTAL oskadade av klövvilt vid 5 m</t>
  </si>
  <si>
    <t>Ange i stammar/hektar</t>
  </si>
  <si>
    <t>Antal oskadade stammar per hektar uttryckt som medelvärde för ÄFO enligt Äbin. Anges i stammar per hektar, heltal.</t>
  </si>
  <si>
    <t>2. NULÄGESBESKRIVNINGAR</t>
  </si>
  <si>
    <t>2.1 Uppgifter om älgstammen inom älgskötselområdet</t>
  </si>
  <si>
    <t>Uppgifter om älgstammen och redovisning av inventeringar enligt föreslagna kvalitetssäkrade metoder.</t>
  </si>
  <si>
    <t xml:space="preserve">2.1.1 Den totala avskjutningen inom ÄSO på årsbasis </t>
  </si>
  <si>
    <t>Data hämtas från Älgportalens databas</t>
  </si>
  <si>
    <t>Bör avse de senaste tre årens avskjutning.</t>
  </si>
  <si>
    <t>https://www.slu.se/algforvaltning</t>
  </si>
  <si>
    <t>År</t>
  </si>
  <si>
    <t>Avskjutningssiffror hämtas från Älgdata.se eller via Länsstyrelsen</t>
  </si>
  <si>
    <t>Hondjur</t>
  </si>
  <si>
    <t>Automatisk summering av raderna ovan</t>
  </si>
  <si>
    <t>Totalt per 1000 ha</t>
  </si>
  <si>
    <t>Automatisk beräkning baserad på raderna ovan och areal för respektive år</t>
  </si>
  <si>
    <t>Areal (ha för respektive år)</t>
  </si>
  <si>
    <t>Areal för ÄSO respektive år anges</t>
  </si>
  <si>
    <t>Sammanställning av avskjutningen de senaste tre åren för uppföljning av kvalitetsmålen.</t>
  </si>
  <si>
    <t>Tjurandel avskj. (tjur/vuxna)</t>
  </si>
  <si>
    <t>Automatisk beräkning baserad på raderna ovan</t>
  </si>
  <si>
    <t>Kalvandel avskj. (kalv/totalt)</t>
  </si>
  <si>
    <t>Kommentarer/ Redogörelse av olikheter inom området.</t>
  </si>
  <si>
    <t xml:space="preserve">2.1.2 Älgobservationer (älgobs) </t>
  </si>
  <si>
    <t>Minst de senaste fyra årens älgobs jämförs för att trenden i älgpopulationen ska kunna följas.</t>
  </si>
  <si>
    <t>Medel</t>
  </si>
  <si>
    <t>Antal obstimmar</t>
  </si>
  <si>
    <t>Ska överstiga 5000 timmar för att vara statistiskt acceptabelt. Rödmarkera värden om understiger.</t>
  </si>
  <si>
    <t>Observationer per mantimme</t>
  </si>
  <si>
    <t>Uttrycks som decimaltal med 3 decimaler</t>
  </si>
  <si>
    <t>Antal kalvar per hondjur</t>
  </si>
  <si>
    <t>Uttrycks som decimaltal med 2 decimaler</t>
  </si>
  <si>
    <t>Andel tjur av vuxna</t>
  </si>
  <si>
    <t>Uttrycks som ett heltal i %</t>
  </si>
  <si>
    <t xml:space="preserve">2.1.3 Spillningsinventering </t>
  </si>
  <si>
    <t>Antal provytor</t>
  </si>
  <si>
    <t>Antal provytor i inventeringen</t>
  </si>
  <si>
    <t>Antal dagar i inventeringsperiod</t>
  </si>
  <si>
    <t>Från rensningsdatum eller bedömt lövfällningsdatum till inventeringsdatum</t>
  </si>
  <si>
    <t>Antal funna spillningshögar</t>
  </si>
  <si>
    <t>Antal funna spillningshögar i inventeringen</t>
  </si>
  <si>
    <t>Spillningshögar per älg och dygn</t>
  </si>
  <si>
    <t>Antal spillningshögar per älg och dygn</t>
  </si>
  <si>
    <t>Antal högar per ruta (täthetsindex)</t>
  </si>
  <si>
    <t>Medelantal spillningshögar per provyta</t>
  </si>
  <si>
    <t>Vinterstam i antal/1000 ha (max)</t>
  </si>
  <si>
    <t>Skattning av älgtäthet i absoluta tal. Ifylls  om konfidensintervallet för inventeringen har beräknats (max i konfidensintervallet)</t>
  </si>
  <si>
    <t>Vinterstam i antal/1000 ha (min)</t>
  </si>
  <si>
    <t>Skattning av älgtäthet i absoluta tal.  Ifylls om konfidensintervallet för inventeringen har beräknats (min i konfidensintervallet)</t>
  </si>
  <si>
    <t>Vinterstam i antal/1000 ha (medel)</t>
  </si>
  <si>
    <t xml:space="preserve">Skattning av älgtäthet i absoluta tal </t>
  </si>
  <si>
    <t>Skattning av älgtäthet i absoluta tal. Ifylls om underlag för rad 95-98 skanas eller om kofidensintervallet för inventeringen har beräknats (medeltal i konfidensintervallet).</t>
  </si>
  <si>
    <r>
      <rPr>
        <b/>
        <sz val="18"/>
        <color theme="1"/>
        <rFont val="Calibri"/>
        <family val="2"/>
      </rPr>
      <t xml:space="preserve">2. NULÄGESBESKRIVNINGAR </t>
    </r>
    <r>
      <rPr>
        <b/>
        <sz val="14"/>
        <color theme="1"/>
        <rFont val="Calibri"/>
        <family val="2"/>
      </rPr>
      <t>forts.</t>
    </r>
  </si>
  <si>
    <t>2.1.4 Kalvvikter - vikt utan huvud, hud, skankar och inälvor före skottrensning</t>
  </si>
  <si>
    <t xml:space="preserve">Medelslaktvikten för samtliga fällda och vägda älgkalvar inom ÄSO från de senaste tre åren.  </t>
  </si>
  <si>
    <t>Antal vägda kalvar</t>
  </si>
  <si>
    <t>Slaktvikt kg septemberjakt (vägda)</t>
  </si>
  <si>
    <t>Medelvikter för alla vägda kalvar skjutna under septemberjakten</t>
  </si>
  <si>
    <t>Slaktvikt kg oktoberjakt (vägda)</t>
  </si>
  <si>
    <t>Medelvikter för alla vägda kalvar skjutna från och med oktober</t>
  </si>
  <si>
    <t>Slaktvikt kg medel (vägda)</t>
  </si>
  <si>
    <t>Medelvikter för alla vägda kalvar, såväl tjurkalvar som kvigkalvar</t>
  </si>
  <si>
    <t>2.1.5 Vuxna vikter - vikt utan huvud, hud, skankar och inälvor före skottrensning</t>
  </si>
  <si>
    <t>Data hämtas från Viltdata eller Jaktrapport, beroende på vad äsot använder</t>
  </si>
  <si>
    <t xml:space="preserve">Medelslaktvikten för samtliga fällda och vägda vuxna älgar inom äso från de senaste tre åren.  </t>
  </si>
  <si>
    <t>Antal vägda kor</t>
  </si>
  <si>
    <t>Slaktvikt kg (vägda) kor</t>
  </si>
  <si>
    <t>Medelvikter för alla vägda vuxna tjurar</t>
  </si>
  <si>
    <t>Antal vägda tjurar</t>
  </si>
  <si>
    <t>Slaktvikt kg (vägda) tjurar</t>
  </si>
  <si>
    <t>Medelvikter för alla vägda vuxna kor</t>
  </si>
  <si>
    <t>2.1.6 Medelålder</t>
  </si>
  <si>
    <t xml:space="preserve">Medelålder för samtliga fällda och tandsnittade vuxna älgar inom äso från de senaste tre åren.  </t>
  </si>
  <si>
    <t>Antal åldersbestämda kor</t>
  </si>
  <si>
    <t>Medelålder år (tandsnitt) kor</t>
  </si>
  <si>
    <t>Medelålder för alla tandsnittade vuxna kor</t>
  </si>
  <si>
    <t>Antal åldersbestämda tjurar</t>
  </si>
  <si>
    <t>Medelålder år (tandsnitt) tjurar</t>
  </si>
  <si>
    <t>Medelålder för alla tandsnittade vuxna tjurar</t>
  </si>
  <si>
    <t>2.1.7 Reproduktion</t>
  </si>
  <si>
    <t xml:space="preserve">Antal utstötta ägg per hondjur från livmoderundersökningar inom äso från de senaste tre åren.  </t>
  </si>
  <si>
    <t>Antal utstötta ägg per hondjur och år från livmoderundersökningar inom äso</t>
  </si>
  <si>
    <t>Antal  analyserade kor</t>
  </si>
  <si>
    <t>Ägg per hondjur (livmoderanalys)</t>
  </si>
  <si>
    <t xml:space="preserve">2.1.8 Flyginventering </t>
  </si>
  <si>
    <t>Årtal för inventeringen</t>
  </si>
  <si>
    <t>Ange antal enligt skattningen</t>
  </si>
  <si>
    <t>Summerad skattning av stammens numerär</t>
  </si>
  <si>
    <t xml:space="preserve">2.1.9 Bedömning av den nuvarande älgstammen inom älgskötselområdet </t>
  </si>
  <si>
    <t>Antal de senaste 3 åren</t>
  </si>
  <si>
    <t>Ökat</t>
  </si>
  <si>
    <t>Minskat</t>
  </si>
  <si>
    <t>Älgstammen har</t>
  </si>
  <si>
    <t>Bästa bedömning utifrån tillgängliga underlag såsom älgobs, spillningsinventering och avskjutning. Markera med kryss.</t>
  </si>
  <si>
    <t>Vinterstam, älg/1000 ha</t>
  </si>
  <si>
    <t>Bästa bedömning utifrån tillgängligt underlag. Ange med en decimal.</t>
  </si>
  <si>
    <t xml:space="preserve">Beräknad sammansättning andel vid periodens start </t>
  </si>
  <si>
    <t>Antal älgar</t>
  </si>
  <si>
    <t>Beräknad fördelning</t>
  </si>
  <si>
    <t>Antal älgar/1000 ha</t>
  </si>
  <si>
    <t>% tjur av vuxna</t>
  </si>
  <si>
    <t>Beräknad fördelning baseras på områdets historiska data.</t>
  </si>
  <si>
    <t>Ko/kviga</t>
  </si>
  <si>
    <t>Summa</t>
  </si>
  <si>
    <t>Kvalitet de senaste 3 åren</t>
  </si>
  <si>
    <t>Tjurandelen</t>
  </si>
  <si>
    <t>Bästa bedömning utifrån tillgängligt underlag. Markera med kryss.</t>
  </si>
  <si>
    <t>Medelåldern</t>
  </si>
  <si>
    <t>Kalvvikterna</t>
  </si>
  <si>
    <t>Reproduktionen</t>
  </si>
  <si>
    <t xml:space="preserve">2.1.10 Sammanställt beräkningsunderlag för analys i Älgfrode </t>
  </si>
  <si>
    <t>Aktuell Älgfrode laddas ner från:</t>
  </si>
  <si>
    <t>Data till Älgfrode</t>
  </si>
  <si>
    <t>Älgstammens egenskaper</t>
  </si>
  <si>
    <t>http://www.naturforvaltning.se/vad-vi-goer/aelgfrode.aspx</t>
  </si>
  <si>
    <t>Områdets areal i ha</t>
  </si>
  <si>
    <t>Enligt älgobs</t>
  </si>
  <si>
    <t>Medel 4 år</t>
  </si>
  <si>
    <t>Medel 3 år</t>
  </si>
  <si>
    <t>Senaste år</t>
  </si>
  <si>
    <t>Observera att älgfrode inte använder historisk avskjutning korrekt i beräkningen om områdets areal har förändrats senase året.</t>
  </si>
  <si>
    <t>Målsättning</t>
  </si>
  <si>
    <t>Användning av älgobsdata i Älgfrode, se intruktion i beräkningsprogrammet</t>
  </si>
  <si>
    <t>Antal älgar per 1000 ha</t>
  </si>
  <si>
    <t>Antal kalvar per vuxet hondjur</t>
  </si>
  <si>
    <t>Enligt avskjutning</t>
  </si>
  <si>
    <t>% tjurkalv av alla kalvar</t>
  </si>
  <si>
    <t xml:space="preserve">Andel tjurkalv i populationen utgår från normalfördelning (ej beräknat). Om beräknad avskjutning användas så bör det vara en tydlig och dokumenterad avvikelse mot normalfördelningen </t>
  </si>
  <si>
    <t>över ett större område.Se statistik "Fällda älgar" i älgdata på ÄFO-nivå för en flerårsperiod på minst tre år.</t>
  </si>
  <si>
    <t>Avskjutning</t>
  </si>
  <si>
    <t>Dödlighet utöver jakt</t>
  </si>
  <si>
    <t>Rovdjur</t>
  </si>
  <si>
    <t>Trafik</t>
  </si>
  <si>
    <t>Övrigt</t>
  </si>
  <si>
    <t>Antal vuxna tjurar</t>
  </si>
  <si>
    <t>Antal vuxna tjurar per år</t>
  </si>
  <si>
    <t>Antal vuxna hondjur</t>
  </si>
  <si>
    <t>Antal vuxna hondjur per år</t>
  </si>
  <si>
    <t>Antal kalvar</t>
  </si>
  <si>
    <t>Antal kalvar per år *</t>
  </si>
  <si>
    <t xml:space="preserve">*OBS! Andvänd bilaga 1. Beräkningsstöd predation i Älgfrode för att beräkna sommarpredationen av varg och björn. Detta eftersom reproduktionstalet </t>
  </si>
  <si>
    <t>Älgstammens storlek</t>
  </si>
  <si>
    <t>(antal kalvar per hondjur) enligt älgobsen inte tar hänsyn till de kalvar som dött före jaktperiodens start.</t>
  </si>
  <si>
    <t>Bedömd eller beräknad sammansättning enligt Älgfrode antal vid periodens slut (utökad uppgift ej obligatorisk)</t>
  </si>
  <si>
    <t>Ifylls om det finns invetering som styrker en annan fördelning än den beräknade sammansättningen. OBS! endast kvalitetssäkrade inventeringsmetoder.</t>
  </si>
  <si>
    <t>Alternativt kan värden hämtas från älgfrode</t>
  </si>
  <si>
    <t>Inventerad fördelning eller beräknad fördelning enligt Älgfrode.</t>
  </si>
  <si>
    <t>Fyll i antal tjurar</t>
  </si>
  <si>
    <t>Fyll i antal vuxna hondjur</t>
  </si>
  <si>
    <t>Fyll i antal kalvar</t>
  </si>
  <si>
    <r>
      <rPr>
        <b/>
        <sz val="18"/>
        <color theme="1"/>
        <rFont val="Calibri"/>
        <family val="2"/>
      </rPr>
      <t xml:space="preserve">2. NULÄGESBESKRIVNINGAR </t>
    </r>
    <r>
      <rPr>
        <b/>
        <sz val="14"/>
        <color theme="1"/>
        <rFont val="Calibri"/>
        <family val="2"/>
      </rPr>
      <t>forts.</t>
    </r>
  </si>
  <si>
    <t xml:space="preserve">2.2 Inventeringar av skogstillståndet inom älgskötselområdet </t>
  </si>
  <si>
    <t>Uppgifter om skogstillståndet och redovisning av inventeringar enligt föreslagna kvalitetssäkrade metoder.</t>
  </si>
  <si>
    <r>
      <rPr>
        <i/>
        <sz val="14"/>
        <color theme="1"/>
        <rFont val="Calibri"/>
        <family val="2"/>
      </rPr>
      <t xml:space="preserve">2.2.1 Fodertillgång och skadeläge på skog enligt Skogsstyrelsens foderprognoser och Äbin inom </t>
    </r>
    <r>
      <rPr>
        <b/>
        <i/>
        <u/>
        <sz val="14"/>
        <color theme="1"/>
        <rFont val="Calibri"/>
        <family val="2"/>
      </rPr>
      <t>ÄFOt</t>
    </r>
  </si>
  <si>
    <t>Fodertillgång och prognos</t>
  </si>
  <si>
    <t>https://www.skogsstyrelsen.se/abin</t>
  </si>
  <si>
    <t>Areal ungskog</t>
  </si>
  <si>
    <t>Total ungskogsareal i ÄFO enligt Skogsstyrelsens foderprognos, uttryckt i hektar. Sammanställning finns i senaste ÄBIN-rapport för ÄLGFÖRVLATNINGSOMRÅDET</t>
  </si>
  <si>
    <t>RASE (rönn, asp, sälg, ek), andel ytor med förekomst</t>
  </si>
  <si>
    <t>Andel ytor av totalt inventerade ytor där någon RASE förekommer</t>
  </si>
  <si>
    <t>Utveckling kommande 5 åren</t>
  </si>
  <si>
    <t>Ökande</t>
  </si>
  <si>
    <t>Minskande</t>
  </si>
  <si>
    <t>Areal tallfoder</t>
  </si>
  <si>
    <t>Markera med kryss om särskild kunskap avseende tallfoderutvecklingen finns.</t>
  </si>
  <si>
    <t>Ange resultat från tre senaste inventeringarna</t>
  </si>
  <si>
    <t>Övriga uppgifter om skogstillståndet enligt Äbin</t>
  </si>
  <si>
    <t>Medel tre senaste inventeringarna</t>
  </si>
  <si>
    <t>Årsskada Tall (vinterskador + sommarskador)</t>
  </si>
  <si>
    <t>Äbin resultatrapport: "Årsskada (vinterskada+sommarskada) - andel viltskadade tallstammar det senaste året". Uttrycks i % med heltal.</t>
  </si>
  <si>
    <t>Andel Tallstammar utan viltskador</t>
  </si>
  <si>
    <t>Äbin resultatrapport: "Andel tallstammar utan viltskador". Uttrycks i % med heltal.</t>
  </si>
  <si>
    <t>Ståndortsanpassning</t>
  </si>
  <si>
    <t>Andel mager mark föryngrad med tall</t>
  </si>
  <si>
    <t>Äbin resultatrapport: "Andel ungskog på mager mark som är föryngrad med tall". Uttrycks i % med heltal.</t>
  </si>
  <si>
    <t>RASE</t>
  </si>
  <si>
    <t>Andel ytor med gynnsam konkurrensstatus</t>
  </si>
  <si>
    <t>Äbin resultatrapport: "Andel provytor med gynnsam konkurrensstatus" avseende RASE. Uttrycks i % med heltal.</t>
  </si>
  <si>
    <t>Årsskada Gran(vinterskador + sommarskador)</t>
  </si>
  <si>
    <t>Äbin resultatrapport: "Årsskada (vinterskada+skommarskada)" avseende gran. Uttrycks i % med heltal.</t>
  </si>
  <si>
    <t>2.2.2 Bedömt betetryck i avsaknad av Äbin eller som komplettering till Äbin</t>
  </si>
  <si>
    <t>För</t>
  </si>
  <si>
    <t>Tolerabla</t>
  </si>
  <si>
    <t>För omfattande</t>
  </si>
  <si>
    <t>Tall</t>
  </si>
  <si>
    <t>Markera bedömt nuläge med kryss.</t>
  </si>
  <si>
    <t>Gran</t>
  </si>
  <si>
    <t>RASE, välj alternativ i lista</t>
  </si>
  <si>
    <t>Omhändertas istället av:</t>
  </si>
  <si>
    <t>Välj i lista</t>
  </si>
  <si>
    <t>Välj alternativ i lista utifrån gruppens bedömning</t>
  </si>
  <si>
    <t>Bedömningen grundar sig på</t>
  </si>
  <si>
    <t xml:space="preserve">2.3 Redovisning av skador på gröda </t>
  </si>
  <si>
    <t>Omfattning</t>
  </si>
  <si>
    <t>Markera med kryss</t>
  </si>
  <si>
    <t>Redogörelse för typ av skador och var skadorna har förekommit.</t>
  </si>
  <si>
    <r>
      <rPr>
        <b/>
        <sz val="18"/>
        <color theme="1"/>
        <rFont val="Calibri"/>
        <family val="2"/>
      </rPr>
      <t xml:space="preserve">2. NULÄGESBESKRIVNINGAR </t>
    </r>
    <r>
      <rPr>
        <b/>
        <sz val="14"/>
        <color theme="1"/>
        <rFont val="Calibri"/>
        <family val="2"/>
      </rPr>
      <t>forts.</t>
    </r>
  </si>
  <si>
    <t xml:space="preserve">2.4 Redovisning av rapporterade viltolyckor med älg </t>
  </si>
  <si>
    <t xml:space="preserve">Vilttrafikolyckorna med älg de senaste 3 åren </t>
  </si>
  <si>
    <t>Älgolyckor inom ÄSO, antal</t>
  </si>
  <si>
    <t>Antal trafikolyckor med älg inom ÄSO om uppgift finns</t>
  </si>
  <si>
    <t>Tjur, trafikdödad</t>
  </si>
  <si>
    <t>Antal trafikdödade älgar inom ÄSO om uppgift finns</t>
  </si>
  <si>
    <t>Hondjur, trafikdödad</t>
  </si>
  <si>
    <t>Kalv, trafikdödad</t>
  </si>
  <si>
    <t>Okänd, trafikdödad</t>
  </si>
  <si>
    <t>Summa trafikdödade älgar</t>
  </si>
  <si>
    <t>Automatisk summering av trafikdödade älgar inom ÄSO</t>
  </si>
  <si>
    <t>2.5 Övrig dödlighet</t>
  </si>
  <si>
    <t>Ange antal inom ÄSO om uppgift finns</t>
  </si>
  <si>
    <t>Okänd</t>
  </si>
  <si>
    <t>Automatisk summering av övriga döda älgar inom ÄSO</t>
  </si>
  <si>
    <t xml:space="preserve">2.6 Redovisning av rovdjursförekomst och predationstryck </t>
  </si>
  <si>
    <t xml:space="preserve">Predation inom ÄSO </t>
  </si>
  <si>
    <t>Vargrevir</t>
  </si>
  <si>
    <t>% av reviret som berör ÄSO</t>
  </si>
  <si>
    <t>Predation i reviret antal</t>
  </si>
  <si>
    <t>Predation vuxen älg</t>
  </si>
  <si>
    <t>Predation kalv</t>
  </si>
  <si>
    <t>Revirets predation i ÄSOt</t>
  </si>
  <si>
    <t>Predation/ 1000 ha</t>
  </si>
  <si>
    <t>Om ett revir berör flera ÄSO måste andelarna fördelas så att samma revir inte räknas flera gånger.</t>
  </si>
  <si>
    <t>Ange revirets namn, andel som berör ÄSOt samt bedömd predation av antal älgar i hela reviret. I revir med alternativa bytesdjur kan predationen behöva reduceras.</t>
  </si>
  <si>
    <t>Summa:</t>
  </si>
  <si>
    <t>Summa vargpredation inom ÄSOt</t>
  </si>
  <si>
    <t>Björntäthet per 100 000 ha</t>
  </si>
  <si>
    <t>Antal björnar inom ÄSO</t>
  </si>
  <si>
    <t>Predation per vuxen björn</t>
  </si>
  <si>
    <t>Björnens predation i ÄSOt</t>
  </si>
  <si>
    <t>Ange bedömd björntäthet per 100 000 ha samt bedömd predation per vuxen björn</t>
  </si>
  <si>
    <t>S:a predation:</t>
  </si>
  <si>
    <t>Summa varg- och björnpredation inom ÄSOt</t>
  </si>
  <si>
    <t>Förutsättningar för ovanstående:</t>
  </si>
  <si>
    <t>Vargpredationen bör beräknas till 100-140 älgar/revir. I beräkningen utgörs predationen av 82% kalv och 18% vuxna.</t>
  </si>
  <si>
    <t xml:space="preserve">I revir med alternativa bytesdjur kan predationen behöva reduceras. Läs uppdaterad info på www.slu.se/algforvaltning </t>
  </si>
  <si>
    <t>Björnpredationen bör beräknas till ca 7 älgar per vuxen björn. I beräkningen utgörs predationen av 93% kalv och 7% vuxna.</t>
  </si>
  <si>
    <t>Andelen vuxen björn utgör 50% i beräkningen.</t>
  </si>
  <si>
    <t>3. SAMMANFATTNING MÅL OCH NULÄGE</t>
  </si>
  <si>
    <t>Mål</t>
  </si>
  <si>
    <t>Nuläge</t>
  </si>
  <si>
    <t>Trend</t>
  </si>
  <si>
    <t>Åtgärdsförslag</t>
  </si>
  <si>
    <t>Ange främst trender avseende senaste årens data för respektive rad genom att välja ett alternativ i listan.</t>
  </si>
  <si>
    <t>Vinterstam, älgar per 1000ha registrerad jaktareal</t>
  </si>
  <si>
    <r>
      <rPr>
        <i/>
        <sz val="11"/>
        <color theme="1"/>
        <rFont val="Calibri"/>
        <family val="2"/>
      </rPr>
      <t>Mål = slutmål för</t>
    </r>
    <r>
      <rPr>
        <i/>
        <u/>
        <sz val="11"/>
        <color theme="1"/>
        <rFont val="Calibri"/>
        <family val="2"/>
      </rPr>
      <t xml:space="preserve"> planperioden</t>
    </r>
    <r>
      <rPr>
        <i/>
        <sz val="11"/>
        <color theme="1"/>
        <rFont val="Calibri"/>
        <family val="2"/>
      </rPr>
      <t>, nuläge från förra året.</t>
    </r>
  </si>
  <si>
    <t>Vinterstam, antal älgar totalt inom ÄSO</t>
  </si>
  <si>
    <t>Mål = slutmål för planperioden, nuläge från förra året. Uttrycks i antal älgar totalt inom ÄSO.</t>
  </si>
  <si>
    <t>Andel tjur av vuxna i älgobs</t>
  </si>
  <si>
    <t>Nuläge = medelvärde för senaste tre åren</t>
  </si>
  <si>
    <t>Antal kalvar per hondjur i älgobs</t>
  </si>
  <si>
    <t>Kalvandel i avskjutning</t>
  </si>
  <si>
    <t>Färska skador tallar/produktionstammar, max</t>
  </si>
  <si>
    <t>Uttrycks främst som trend, nuläge = medelvärde för senaste tre åren</t>
  </si>
  <si>
    <t>Nuläge hämtas från tabell under avsnitt 2.2.1 om värde finns</t>
  </si>
  <si>
    <t>Fodersituation enligt foderprognos</t>
  </si>
  <si>
    <t>Uttrycks som trend och/eller i antal älgar i vinterstam per 1000 ha ungskog</t>
  </si>
  <si>
    <t>Älgolyckor inom ÄSO, antal totalt</t>
  </si>
  <si>
    <t>Nuläge = förra årets värde</t>
  </si>
  <si>
    <t>Övrig dödlighet, antal älgar inom ÄSO</t>
  </si>
  <si>
    <t>Predation, antal älgar inom ÄSO</t>
  </si>
  <si>
    <t>4. HANDLINGSPLAN FRÅN NULÄGE TILL MÅLUPPFYLLNAD</t>
  </si>
  <si>
    <t xml:space="preserve">4.1 Avskjutning för älgskötselområdet </t>
  </si>
  <si>
    <t>Avskjutning baseras på:</t>
  </si>
  <si>
    <t>Ange om avskjutningsplanen baseras på beräkningsmodellen eller eget förslag.</t>
  </si>
  <si>
    <t>Avskjutning tjurar enligt vald beräkningsmodell alternativt eget förslag</t>
  </si>
  <si>
    <t>Avskjutning hondjur enligt vald beräkningsmodell alternativt eget förslag</t>
  </si>
  <si>
    <t>Avskjutning kalvar enligt vald beräkningsmodell alternativt eget förslag</t>
  </si>
  <si>
    <t>Antal älgar totalt</t>
  </si>
  <si>
    <t>Summa avskjutning enligt vald beräkningsmodell alternativt eget förslag</t>
  </si>
  <si>
    <t>Andel tjur av vuxna (%)</t>
  </si>
  <si>
    <t>Andel tjurar i avskjutning enligt vald beräkningsmodell alternativt eget förslag</t>
  </si>
  <si>
    <t>Andel kalv av total avskjutning (%)</t>
  </si>
  <si>
    <t>Andel kalvar i avskjutning enligt vald beräkningsmodell alternativt eget förslag</t>
  </si>
  <si>
    <t>Aktuell areal respektive år, krävs för korrekt beräkning om arealändringar skett</t>
  </si>
  <si>
    <t>Total avskjutning uttryckt i älgar per 1000 hektar</t>
  </si>
  <si>
    <t>Motivering för avvikelse jämfört med beräkningsmodellens förslag</t>
  </si>
  <si>
    <t xml:space="preserve">4.2 Planerade inventeringar </t>
  </si>
  <si>
    <t>Äbin</t>
  </si>
  <si>
    <t>Markera med kryss om inventering ska genomföras</t>
  </si>
  <si>
    <t>Spillningsinventering</t>
  </si>
  <si>
    <t>Flyginventering</t>
  </si>
  <si>
    <t>Avskjutningsstatistik</t>
  </si>
  <si>
    <t>Markera med kryss om information ska inhämtas och användas i förvaltningen</t>
  </si>
  <si>
    <t>Älgobs</t>
  </si>
  <si>
    <t>Kalvvikter</t>
  </si>
  <si>
    <t>Foderprognoser</t>
  </si>
  <si>
    <t>Kommentarer</t>
  </si>
  <si>
    <t>5. ÖVRIGT</t>
  </si>
  <si>
    <t>5.1 Redogörelse för samråd och förankringsprocessen inom äso.</t>
  </si>
  <si>
    <t>Denna älgskötselplan har utformats i samråd med berörda fastighetsägare och jakträttshavare.</t>
  </si>
  <si>
    <t>Underskrift av företrädaren för ÄSOt</t>
  </si>
  <si>
    <t>Företrädare för älgskötselområdet</t>
  </si>
  <si>
    <t>Namnförtydligande</t>
  </si>
  <si>
    <t>Datum:</t>
  </si>
  <si>
    <t>Älgskötselplanen tillstyrks av älgförvaltningsgruppen</t>
  </si>
  <si>
    <t>Älgskötselplanen tillstyrks inte av älgförvaltningsgruppen</t>
  </si>
  <si>
    <t>Underskrift av ordförande för ÄFOt</t>
  </si>
  <si>
    <t>För älgförvaltningsgruppen</t>
  </si>
  <si>
    <t>Kan även anges i separat bilaga</t>
  </si>
  <si>
    <t>Motivering eller avvikande mening</t>
  </si>
  <si>
    <t>5.2 Bilagor</t>
  </si>
  <si>
    <t>Komplettera med bilagor som använts som inventeringsunderlag/rapporter och beräkningsunderlag (Älfrode-bifoga samtliga sidor)</t>
  </si>
  <si>
    <t>Trender</t>
  </si>
  <si>
    <t>Betestryck RASE</t>
  </si>
  <si>
    <t>Svagt</t>
  </si>
  <si>
    <t>Hårt</t>
  </si>
  <si>
    <t>Revidering plan orsak</t>
  </si>
  <si>
    <t>Nytt ÄSO</t>
  </si>
  <si>
    <t>Ändrad omfattning ÄSO</t>
  </si>
  <si>
    <t>Ny planperiod</t>
  </si>
  <si>
    <t>I period pga ändrade förhållanden</t>
  </si>
  <si>
    <t>I period pga ändrad areal</t>
  </si>
  <si>
    <t>Län</t>
  </si>
  <si>
    <t>nr</t>
  </si>
  <si>
    <t>afoLst</t>
  </si>
  <si>
    <t>Valbara nr</t>
  </si>
  <si>
    <t>AfoId</t>
  </si>
  <si>
    <t>AfoNamn</t>
  </si>
  <si>
    <t>AfoBet</t>
  </si>
  <si>
    <t>01</t>
  </si>
  <si>
    <t>Stockholms län</t>
  </si>
  <si>
    <t>Norrtälje Norra</t>
  </si>
  <si>
    <t>01-001</t>
  </si>
  <si>
    <t>03</t>
  </si>
  <si>
    <t>Uppsala län</t>
  </si>
  <si>
    <t>Sigtuna</t>
  </si>
  <si>
    <t>01-002</t>
  </si>
  <si>
    <t>04</t>
  </si>
  <si>
    <t>Södermanlands län</t>
  </si>
  <si>
    <t>Mälaröarna</t>
  </si>
  <si>
    <t>01-003</t>
  </si>
  <si>
    <t>05</t>
  </si>
  <si>
    <t>Östergötlands län</t>
  </si>
  <si>
    <t>Södertörn</t>
  </si>
  <si>
    <t>01-004</t>
  </si>
  <si>
    <t>06</t>
  </si>
  <si>
    <t>Jönköpings län</t>
  </si>
  <si>
    <t>Skärgården</t>
  </si>
  <si>
    <t>01-005</t>
  </si>
  <si>
    <t>07</t>
  </si>
  <si>
    <t>Kronobergs län</t>
  </si>
  <si>
    <t>Vallentuna/Närtuna</t>
  </si>
  <si>
    <t>01-006</t>
  </si>
  <si>
    <t>08</t>
  </si>
  <si>
    <t>Kalmar län</t>
  </si>
  <si>
    <t>Norrtälje Södra</t>
  </si>
  <si>
    <t>01-007</t>
  </si>
  <si>
    <t>10</t>
  </si>
  <si>
    <t>Blekinge län</t>
  </si>
  <si>
    <t>Södertälje</t>
  </si>
  <si>
    <t>01-008</t>
  </si>
  <si>
    <t>12</t>
  </si>
  <si>
    <t>Skåne län</t>
  </si>
  <si>
    <t>Östervåla Älgförvaltningsområde</t>
  </si>
  <si>
    <t>03-001</t>
  </si>
  <si>
    <t>13</t>
  </si>
  <si>
    <t>Hallands län</t>
  </si>
  <si>
    <t>Österbybruks Älgförvaltningsområde</t>
  </si>
  <si>
    <t>03-002</t>
  </si>
  <si>
    <t>14</t>
  </si>
  <si>
    <t>Västra Götalands län</t>
  </si>
  <si>
    <t>Norra Upplandskustens Älgförvaltningsområde</t>
  </si>
  <si>
    <t>03-003</t>
  </si>
  <si>
    <t>17</t>
  </si>
  <si>
    <t>Värmlands län</t>
  </si>
  <si>
    <t>Almunge Älgförvaltningsområde</t>
  </si>
  <si>
    <t>03-004</t>
  </si>
  <si>
    <t>18</t>
  </si>
  <si>
    <t>Örebro län</t>
  </si>
  <si>
    <t>Ekoln-Trögdens Älgförvaltningsområde</t>
  </si>
  <si>
    <t>03-005</t>
  </si>
  <si>
    <t>19</t>
  </si>
  <si>
    <t>Västmanlands län</t>
  </si>
  <si>
    <t>Fjärdhundra Älgförvaltningsområde</t>
  </si>
  <si>
    <t>03-006</t>
  </si>
  <si>
    <t>20</t>
  </si>
  <si>
    <t>Dalarnas län</t>
  </si>
  <si>
    <t>Älgförvaltningsområde 1</t>
  </si>
  <si>
    <t>04-001</t>
  </si>
  <si>
    <t>21</t>
  </si>
  <si>
    <t>Gävleborgs län</t>
  </si>
  <si>
    <t>Älgförvaltningsområde 2</t>
  </si>
  <si>
    <t>04-002</t>
  </si>
  <si>
    <t>22</t>
  </si>
  <si>
    <t>Västernorrland län</t>
  </si>
  <si>
    <t>Älgförvaltningsområde 3</t>
  </si>
  <si>
    <t>04-003</t>
  </si>
  <si>
    <t>23</t>
  </si>
  <si>
    <t>Jämtlands län</t>
  </si>
  <si>
    <t>Älgförvaltningsområde 4</t>
  </si>
  <si>
    <t>04-004</t>
  </si>
  <si>
    <t>24</t>
  </si>
  <si>
    <t>Västerbottens län</t>
  </si>
  <si>
    <t>Älgdörvaltningsområde 5</t>
  </si>
  <si>
    <t>04-005</t>
  </si>
  <si>
    <t>25</t>
  </si>
  <si>
    <t>Norrbottens län</t>
  </si>
  <si>
    <t>Älgförvaltningsområde 6</t>
  </si>
  <si>
    <t>04-006</t>
  </si>
  <si>
    <t>Älgförvaltningsområde 7</t>
  </si>
  <si>
    <t>04-007</t>
  </si>
  <si>
    <t>Öka-minska lista</t>
  </si>
  <si>
    <t>Älgförvaltningsområde 8</t>
  </si>
  <si>
    <t>04-008</t>
  </si>
  <si>
    <t>Älgförvaltningsområde 9</t>
  </si>
  <si>
    <t>04-009</t>
  </si>
  <si>
    <t>1 Finspång del av Norrköpings kommun</t>
  </si>
  <si>
    <t>05-001</t>
  </si>
  <si>
    <t>2 Vikbolandet och kusten öster om E 22 ner till länsgränsen</t>
  </si>
  <si>
    <t>05-002</t>
  </si>
  <si>
    <t>3 Åtvidaberg samt del av Linköping, Valdemarsvik,Söderköping</t>
  </si>
  <si>
    <t>05-003</t>
  </si>
  <si>
    <t>4 Boxholm samt del av Linköping, Mjölby och Ödeshög</t>
  </si>
  <si>
    <t>05-004</t>
  </si>
  <si>
    <t>5  Kinda</t>
  </si>
  <si>
    <t>05-005</t>
  </si>
  <si>
    <t>6 Vadstenaslätten mellan Motala Ström och E4:an</t>
  </si>
  <si>
    <t>05-006</t>
  </si>
  <si>
    <t>7 Ydre</t>
  </si>
  <si>
    <t>05-007</t>
  </si>
  <si>
    <t>8 Motala och del av Linköpings kommun</t>
  </si>
  <si>
    <t>05-008</t>
  </si>
  <si>
    <t>ÄFO 1</t>
  </si>
  <si>
    <t>06-001</t>
  </si>
  <si>
    <t>ÄFO 2</t>
  </si>
  <si>
    <t>06-002</t>
  </si>
  <si>
    <t>ÄFO 3</t>
  </si>
  <si>
    <t>06-003</t>
  </si>
  <si>
    <t>ÄFO 4</t>
  </si>
  <si>
    <t>06-004</t>
  </si>
  <si>
    <t>ÄFO 5</t>
  </si>
  <si>
    <t>06-005</t>
  </si>
  <si>
    <t>ÄFO 6</t>
  </si>
  <si>
    <t>06-006</t>
  </si>
  <si>
    <t>ÄFO 7</t>
  </si>
  <si>
    <t>06-007</t>
  </si>
  <si>
    <t>ÄFO 8</t>
  </si>
  <si>
    <t>06-008</t>
  </si>
  <si>
    <t>07-001</t>
  </si>
  <si>
    <t>07-002</t>
  </si>
  <si>
    <t>07-003</t>
  </si>
  <si>
    <t>07-004</t>
  </si>
  <si>
    <t>07-005</t>
  </si>
  <si>
    <t>07-006</t>
  </si>
  <si>
    <t>07-007</t>
  </si>
  <si>
    <t>1. Västervik norra</t>
  </si>
  <si>
    <t>08-001</t>
  </si>
  <si>
    <t>2. Västervik södra</t>
  </si>
  <si>
    <t>08-002</t>
  </si>
  <si>
    <t>3. Vimmerby</t>
  </si>
  <si>
    <t>08-003</t>
  </si>
  <si>
    <t>4. Hultsfred</t>
  </si>
  <si>
    <t>08-004</t>
  </si>
  <si>
    <t>5. Oskarshamn</t>
  </si>
  <si>
    <t>08-005</t>
  </si>
  <si>
    <t>6. Emåns</t>
  </si>
  <si>
    <t>08-006</t>
  </si>
  <si>
    <t>7. Kalmar västra</t>
  </si>
  <si>
    <t>08-007</t>
  </si>
  <si>
    <t>8. Kalmarsunds</t>
  </si>
  <si>
    <t>08-008</t>
  </si>
  <si>
    <t>9. Ölands</t>
  </si>
  <si>
    <t>08-009</t>
  </si>
  <si>
    <t>10. Kalmar södra</t>
  </si>
  <si>
    <t>08-010</t>
  </si>
  <si>
    <t>Blekinge Väst</t>
  </si>
  <si>
    <t>10-001</t>
  </si>
  <si>
    <t>Blekinge Mitt</t>
  </si>
  <si>
    <t>10-002</t>
  </si>
  <si>
    <t>Blekinge Öst</t>
  </si>
  <si>
    <t>10-003</t>
  </si>
  <si>
    <t>Södra älgförvaltningsområdet</t>
  </si>
  <si>
    <t>12-001</t>
  </si>
  <si>
    <t>Mellersta Älgförvaltningsområdet</t>
  </si>
  <si>
    <t>12-002</t>
  </si>
  <si>
    <t>Mellersta Norra älgförvaltningsområdet</t>
  </si>
  <si>
    <t>12-003</t>
  </si>
  <si>
    <t>Nordvästra älgförvaltningsområdet</t>
  </si>
  <si>
    <t>12-004</t>
  </si>
  <si>
    <t>Nordöstra älgförvaltningsområdet</t>
  </si>
  <si>
    <t>12-005</t>
  </si>
  <si>
    <t>Norra älgförvaltningsområdet</t>
  </si>
  <si>
    <t>13-001</t>
  </si>
  <si>
    <t>Centrala älgförvaltningsområdet</t>
  </si>
  <si>
    <t>13-002</t>
  </si>
  <si>
    <t>Östra älgförvaltningsområdet</t>
  </si>
  <si>
    <t>13-003</t>
  </si>
  <si>
    <t>13-004</t>
  </si>
  <si>
    <t>Älgförvaltningsområde 1 Norra Dal</t>
  </si>
  <si>
    <t>14-003</t>
  </si>
  <si>
    <t>Älgförvaltningsområde 2 Norra Bohuslän</t>
  </si>
  <si>
    <t>14-004</t>
  </si>
  <si>
    <t>14-005</t>
  </si>
  <si>
    <t>14-006</t>
  </si>
  <si>
    <t>Älgförvaltningsområde 5</t>
  </si>
  <si>
    <t>14-002</t>
  </si>
  <si>
    <t>Älgförvaltningsområde 6 Norra Skaraborgs äfo</t>
  </si>
  <si>
    <t>14-007</t>
  </si>
  <si>
    <t>14-001</t>
  </si>
  <si>
    <t>14-008</t>
  </si>
  <si>
    <t>Älgförvaltningsområde 9 ÄFG söder R40</t>
  </si>
  <si>
    <t>14-009</t>
  </si>
  <si>
    <t>Finnskoga-Dalby ÄFO</t>
  </si>
  <si>
    <t>17-003</t>
  </si>
  <si>
    <t>Ljusnans ÄFO</t>
  </si>
  <si>
    <t>17-004</t>
  </si>
  <si>
    <t>Fryken-Glafsfjorden ÄFO</t>
  </si>
  <si>
    <t>17-005</t>
  </si>
  <si>
    <t>Klarälven-Fryken ÄFO</t>
  </si>
  <si>
    <t>17-006</t>
  </si>
  <si>
    <t>Örtens ÄFO</t>
  </si>
  <si>
    <t>17-002</t>
  </si>
  <si>
    <t>Wermlandsbergs ÄFO</t>
  </si>
  <si>
    <t>17-007</t>
  </si>
  <si>
    <t>Glaskogens ÄFO</t>
  </si>
  <si>
    <t>17-008</t>
  </si>
  <si>
    <t>Vänerbygdens ÄFO</t>
  </si>
  <si>
    <t>17-009</t>
  </si>
  <si>
    <t>Bergslagskanalens ÄFO</t>
  </si>
  <si>
    <t>17-001</t>
  </si>
  <si>
    <t>Vänern-Möckeln  ÄFO</t>
  </si>
  <si>
    <t>17-010</t>
  </si>
  <si>
    <t>1. Hökhöjden</t>
  </si>
  <si>
    <t>18-001</t>
  </si>
  <si>
    <t>2. Malingsbo</t>
  </si>
  <si>
    <t>18-002</t>
  </si>
  <si>
    <t>3. Kilsbergen</t>
  </si>
  <si>
    <t>18-003</t>
  </si>
  <si>
    <t>4. Frövi</t>
  </si>
  <si>
    <t>18-004</t>
  </si>
  <si>
    <t>5. Örebro läns västra</t>
  </si>
  <si>
    <t>18-005</t>
  </si>
  <si>
    <t>6. Kvismaren</t>
  </si>
  <si>
    <t>18-006</t>
  </si>
  <si>
    <t>7. Tiveden</t>
  </si>
  <si>
    <t>18-007</t>
  </si>
  <si>
    <t>8. Närkesberg</t>
  </si>
  <si>
    <t>18-008</t>
  </si>
  <si>
    <t>Fagersta-Möklinta ÄFO 1</t>
  </si>
  <si>
    <t>19-001</t>
  </si>
  <si>
    <t>Gunnilbo ÄFO 2</t>
  </si>
  <si>
    <t>19-002</t>
  </si>
  <si>
    <t>Skultuna ÄFO 3</t>
  </si>
  <si>
    <t>19-003</t>
  </si>
  <si>
    <t>Köping-Västerås ÄFO 4</t>
  </si>
  <si>
    <t>19-004</t>
  </si>
  <si>
    <t>Kungsör ÄFO 5</t>
  </si>
  <si>
    <t>19-005</t>
  </si>
  <si>
    <t>Särna-Idre älgförvaltningsområde</t>
  </si>
  <si>
    <t>20-001</t>
  </si>
  <si>
    <t>Transtrands älgförvaltningsområde</t>
  </si>
  <si>
    <t>20-002</t>
  </si>
  <si>
    <t>Älvdalens älgförvaltningsområde</t>
  </si>
  <si>
    <t>20-003</t>
  </si>
  <si>
    <t>Noppikoski älgförvaltningsområde</t>
  </si>
  <si>
    <t>20-004</t>
  </si>
  <si>
    <t>Malungs västra älgförvaltningsområde</t>
  </si>
  <si>
    <t>20-005</t>
  </si>
  <si>
    <t>Malungs östra-Venjans älgförvaltningsområde</t>
  </si>
  <si>
    <t>20-006</t>
  </si>
  <si>
    <t>Siljansringens älgförvaltningsområde</t>
  </si>
  <si>
    <t>20-007</t>
  </si>
  <si>
    <t>Bingsjö älgförvaltningsområde</t>
  </si>
  <si>
    <t>20-008</t>
  </si>
  <si>
    <t>Siljansnäs älgförvaltningsområde</t>
  </si>
  <si>
    <t>20-009</t>
  </si>
  <si>
    <t>Bjursås älgförvaltningsområde</t>
  </si>
  <si>
    <t>20-010</t>
  </si>
  <si>
    <t>Gimmens älgförvaltningsområde</t>
  </si>
  <si>
    <t>20-011</t>
  </si>
  <si>
    <t>Lumshedens älgförvaltningsområde</t>
  </si>
  <si>
    <t>20-012</t>
  </si>
  <si>
    <t>Fredriksbergs älgförvaltningsområde</t>
  </si>
  <si>
    <t>20-013</t>
  </si>
  <si>
    <t>Gyllbergens älgförvaltningsområde</t>
  </si>
  <si>
    <t>20-014</t>
  </si>
  <si>
    <t>Gävle-Dala älgförvaltningsområde</t>
  </si>
  <si>
    <t>20-015</t>
  </si>
  <si>
    <t>Norns älgförvaltningsområde</t>
  </si>
  <si>
    <t>20-016</t>
  </si>
  <si>
    <t>Strömsbruk</t>
  </si>
  <si>
    <t>21-001</t>
  </si>
  <si>
    <t>Norra Hälsingland</t>
  </si>
  <si>
    <t>21-002</t>
  </si>
  <si>
    <t>Ljusdal-Ramsjö</t>
  </si>
  <si>
    <t>21-003</t>
  </si>
  <si>
    <t>Voxna</t>
  </si>
  <si>
    <t>21-004</t>
  </si>
  <si>
    <t>Ljusnan-Voxnan</t>
  </si>
  <si>
    <t>21-005</t>
  </si>
  <si>
    <t>Öster-Ljusnan</t>
  </si>
  <si>
    <t>21-006</t>
  </si>
  <si>
    <t>Långvind</t>
  </si>
  <si>
    <t>21-007</t>
  </si>
  <si>
    <t>Ödmorden</t>
  </si>
  <si>
    <t>21-008</t>
  </si>
  <si>
    <t>Ljusne</t>
  </si>
  <si>
    <t>21-009</t>
  </si>
  <si>
    <t>Trödje</t>
  </si>
  <si>
    <t>21-010</t>
  </si>
  <si>
    <t>Söder Voxnan</t>
  </si>
  <si>
    <t>21-011</t>
  </si>
  <si>
    <t>Gruvberget</t>
  </si>
  <si>
    <t>21-012</t>
  </si>
  <si>
    <t>Södra Gästrikland</t>
  </si>
  <si>
    <t>21-013</t>
  </si>
  <si>
    <t>Furuvik</t>
  </si>
  <si>
    <t>21-014</t>
  </si>
  <si>
    <t>Örnsköldsvik</t>
  </si>
  <si>
    <t>22-001</t>
  </si>
  <si>
    <t>Älvarna</t>
  </si>
  <si>
    <t>22-002</t>
  </si>
  <si>
    <t>Strömsund/Sollefteå</t>
  </si>
  <si>
    <t>23-001</t>
  </si>
  <si>
    <t>Hammerdal/Ragunda</t>
  </si>
  <si>
    <t>23-002</t>
  </si>
  <si>
    <t>Västjämtland</t>
  </si>
  <si>
    <t>23-003</t>
  </si>
  <si>
    <t>Östersund/Sundsvall</t>
  </si>
  <si>
    <t>23-004</t>
  </si>
  <si>
    <t>Berg</t>
  </si>
  <si>
    <t>23-005</t>
  </si>
  <si>
    <t>Härjedalen</t>
  </si>
  <si>
    <t>23-006</t>
  </si>
  <si>
    <t>24-001</t>
  </si>
  <si>
    <t>Mellersta älgförvaltningsområdet</t>
  </si>
  <si>
    <t>24-002</t>
  </si>
  <si>
    <t>Sydvästra älgförvaltningsområdet</t>
  </si>
  <si>
    <t>24-003</t>
  </si>
  <si>
    <t>24-004</t>
  </si>
  <si>
    <t>Sydöstra älgförvaltningsområdet</t>
  </si>
  <si>
    <t>24-005</t>
  </si>
  <si>
    <t>25-001</t>
  </si>
  <si>
    <t>25-002</t>
  </si>
  <si>
    <t>25-003</t>
  </si>
  <si>
    <t>25-004</t>
  </si>
  <si>
    <t>25-005</t>
  </si>
  <si>
    <t>25-006</t>
  </si>
  <si>
    <t>Namn_ASO</t>
  </si>
  <si>
    <t>Typ_Plan_Ny</t>
  </si>
  <si>
    <t>Typ_Plan_Rev</t>
  </si>
  <si>
    <t>Typ_Plan_Rev_Avsk</t>
  </si>
  <si>
    <t>Diarie_Nytt</t>
  </si>
  <si>
    <t>Diarie_Bef</t>
  </si>
  <si>
    <t>Diarie_Bef_Nr</t>
  </si>
  <si>
    <t>Ver_dat</t>
  </si>
  <si>
    <t>AFO_Nr</t>
  </si>
  <si>
    <t>AFO_namn</t>
  </si>
  <si>
    <t>LST_Nr</t>
  </si>
  <si>
    <t>Foretr_Fnamn</t>
  </si>
  <si>
    <t>Foretr_Enamn</t>
  </si>
  <si>
    <t>Foretr_Adr</t>
  </si>
  <si>
    <t>Foretr_Postadr</t>
  </si>
  <si>
    <t>Foretr_Tel1</t>
  </si>
  <si>
    <t>Foretr_Tel2</t>
  </si>
  <si>
    <t>Foretr_Epost</t>
  </si>
  <si>
    <t>Kont_Reg</t>
  </si>
  <si>
    <t>Kont_Ny</t>
  </si>
  <si>
    <t>Kont_andrad</t>
  </si>
  <si>
    <t>Roll_Ordf</t>
  </si>
  <si>
    <t>Roll_Sekr</t>
  </si>
  <si>
    <t>Roll_Annan</t>
  </si>
  <si>
    <t>Namn_Annan</t>
  </si>
  <si>
    <t>Fodelsedat</t>
  </si>
  <si>
    <t>Start_period</t>
  </si>
  <si>
    <t>Slut_period</t>
  </si>
  <si>
    <t>Reviderad_datum</t>
  </si>
  <si>
    <t>Reviderad_orsak</t>
  </si>
  <si>
    <t>Lan</t>
  </si>
  <si>
    <t>Lan_nr</t>
  </si>
  <si>
    <t>AFO_nr</t>
  </si>
  <si>
    <t>Fastst_LST</t>
  </si>
  <si>
    <t>Utv_antal_oka</t>
  </si>
  <si>
    <t>Utv_antal_ofor</t>
  </si>
  <si>
    <t>Utv_antal_minska</t>
  </si>
  <si>
    <t>Mal_vinterstam_ar_1</t>
  </si>
  <si>
    <t>Mal_vinterstam_ar_2</t>
  </si>
  <si>
    <t>Mal_vinterstam_ar_3</t>
  </si>
  <si>
    <t>Obs_tjur</t>
  </si>
  <si>
    <t>Obs_kalv_p_ko</t>
  </si>
  <si>
    <t>Mal_avsk_kalv_pr</t>
  </si>
  <si>
    <t>Mal_sl_vikt_kalv</t>
  </si>
  <si>
    <t>Stammar_andel_skada</t>
  </si>
  <si>
    <t>Stammar_varde_andel</t>
  </si>
  <si>
    <t>Stammar_antal_skada</t>
  </si>
  <si>
    <t>Stammar_varde_antal</t>
  </si>
  <si>
    <t>Stammar_max_skada</t>
  </si>
  <si>
    <t>Stammar_varde_max</t>
  </si>
  <si>
    <t>Avskj_tjur_2011</t>
  </si>
  <si>
    <t>Avskj_ko_2011</t>
  </si>
  <si>
    <t>Avskj_kalv_2011</t>
  </si>
  <si>
    <t>Areal_2011</t>
  </si>
  <si>
    <t>Obs_tim_sum_2010</t>
  </si>
  <si>
    <t>Obs_tim_sum_2011</t>
  </si>
  <si>
    <t>Obs_mantim_2010</t>
  </si>
  <si>
    <t>Obs_mantim_2011</t>
  </si>
  <si>
    <t>Obs_kalv_ko_2010</t>
  </si>
  <si>
    <t>Obs_kalv_ko_2011</t>
  </si>
  <si>
    <t>Tjur_vux_2010</t>
  </si>
  <si>
    <t>Tjur_vux_2011</t>
  </si>
  <si>
    <t>Sp_inv_ytor_2009</t>
  </si>
  <si>
    <t>Sp_inv_ytor_2010</t>
  </si>
  <si>
    <t>Sp_inv_ytor_2011</t>
  </si>
  <si>
    <t>Sp_inv_ytor_2012</t>
  </si>
  <si>
    <t>Sp_inv_ytor_2013</t>
  </si>
  <si>
    <t>Sp_inv_ytor_2014</t>
  </si>
  <si>
    <t>Sp_dagar_period_2009</t>
  </si>
  <si>
    <t>Sp_dagar_period_2010</t>
  </si>
  <si>
    <t>Sp_dagar_period_2011</t>
  </si>
  <si>
    <t>Sp_dagar_period_2012</t>
  </si>
  <si>
    <t>Sp_dagar_period_2013</t>
  </si>
  <si>
    <t>Sp_dagar_period_2014</t>
  </si>
  <si>
    <t>SP_spilln_st_2009</t>
  </si>
  <si>
    <t>SP_spilln_st_2010</t>
  </si>
  <si>
    <t>SP_spilln_st_2011</t>
  </si>
  <si>
    <t>SP_spilln_st_2012</t>
  </si>
  <si>
    <t>SP_spilln_st_2013</t>
  </si>
  <si>
    <t>SP_spilln_st_2014</t>
  </si>
  <si>
    <t>Sp_spilln_dygn_2009</t>
  </si>
  <si>
    <t>Sp_spilln_dygn_2010</t>
  </si>
  <si>
    <t>Sp_spilln_dygn_2011</t>
  </si>
  <si>
    <t>Sp_spilln_dygn_2012</t>
  </si>
  <si>
    <t>Sp_spilln_dygn_2013</t>
  </si>
  <si>
    <t>Sp_spilln_dygn_2014</t>
  </si>
  <si>
    <t>Kalvvikt_sep_2009</t>
  </si>
  <si>
    <t>Kalvvikt_sep_2010</t>
  </si>
  <si>
    <t>Kalvvikt_sep_2011</t>
  </si>
  <si>
    <t>Kalvvikt_sep_2012</t>
  </si>
  <si>
    <t>Kalvvikt_sep_2013</t>
  </si>
  <si>
    <t>Kalvvikt_okt_2009</t>
  </si>
  <si>
    <t>Kalvvikt_okt_2010</t>
  </si>
  <si>
    <t>Kalvvikt_okt_2011</t>
  </si>
  <si>
    <t>Kalvvikt_okt_2012</t>
  </si>
  <si>
    <t>Kalvvikt_okt_2013</t>
  </si>
  <si>
    <t>Kalvvikt_tot_2009</t>
  </si>
  <si>
    <t>Kalvvikt_tot_2010</t>
  </si>
  <si>
    <t>Kalvvikt_tot_2011</t>
  </si>
  <si>
    <t>Kalvvikt_tot_2012</t>
  </si>
  <si>
    <t>Kalvvikt_tot_2013</t>
  </si>
  <si>
    <t>Medelalder_ko_tot_2009</t>
  </si>
  <si>
    <t>Medelalder_ko_tot_2010</t>
  </si>
  <si>
    <t>Medelalder_ko_tot_2011</t>
  </si>
  <si>
    <t>Medelalder_ko_tot_2012</t>
  </si>
  <si>
    <t>Medelalder_ko_tot_2013</t>
  </si>
  <si>
    <t>Medelalder_tjur_tot_2009</t>
  </si>
  <si>
    <t>Medelalder_tjur_tot_2010</t>
  </si>
  <si>
    <t>Medelalder_tjur_tot_2011</t>
  </si>
  <si>
    <t>Medelalder_tjur_tot_2012</t>
  </si>
  <si>
    <t>Medelalder_tjur_tot_2013</t>
  </si>
  <si>
    <t>Repr_ko_ko_tot_2009</t>
  </si>
  <si>
    <t>Repr_ko_ko_tot_2010</t>
  </si>
  <si>
    <t>Repr_ko_ko_tot_2011</t>
  </si>
  <si>
    <t>Repr_ko_ko_tot_2012</t>
  </si>
  <si>
    <t>Repr_ko_ko_tot_2013</t>
  </si>
  <si>
    <t>Flyginv_ar_1</t>
  </si>
  <si>
    <t>Flyginv_ar_2</t>
  </si>
  <si>
    <t>Flyginv_ar_3</t>
  </si>
  <si>
    <t>Flyginv_tjur_ar_1</t>
  </si>
  <si>
    <t>Flyginv_tjur_ar_2</t>
  </si>
  <si>
    <t>Flyginv_tjur_ar_3</t>
  </si>
  <si>
    <t>Flyginv_ko_ar_1</t>
  </si>
  <si>
    <t>Flyginv_ko_ar_2</t>
  </si>
  <si>
    <t>Flyginv_ko_ar_3</t>
  </si>
  <si>
    <t>Flyginv_kalv_ar_1</t>
  </si>
  <si>
    <t>Flyginv_kalv_ar_2</t>
  </si>
  <si>
    <t>Flyginv_kalv_ar_3</t>
  </si>
  <si>
    <t>Flyginv_sum_ar_1</t>
  </si>
  <si>
    <t>Flyginv_sum_ar_2</t>
  </si>
  <si>
    <t>Flyginv_sum_ar_3</t>
  </si>
  <si>
    <t>Stam_sen_3_ar_okat</t>
  </si>
  <si>
    <t>Stam_sen_3_ar_oforadrad</t>
  </si>
  <si>
    <t>Stam_sen_3_ar_minskat</t>
  </si>
  <si>
    <t>Vinterst_ar_-5</t>
  </si>
  <si>
    <t>Vinterst_ar_-4</t>
  </si>
  <si>
    <t>Vinterst_ar_-3</t>
  </si>
  <si>
    <t>Vinterst_ar_-2</t>
  </si>
  <si>
    <t>Vinterst_ar_-1</t>
  </si>
  <si>
    <t>Tjurandel_3_ar_minskat</t>
  </si>
  <si>
    <t>Tjurandel_3_ar_oforadrad</t>
  </si>
  <si>
    <t>Tjurandel_3_ar_okat</t>
  </si>
  <si>
    <t>Medelalder_3_ar_minskat</t>
  </si>
  <si>
    <t>Medelalder_3_ar_oforandrad</t>
  </si>
  <si>
    <t>Medelalder_3_ar_okat</t>
  </si>
  <si>
    <t>Reprodukton_3_ar_minskat</t>
  </si>
  <si>
    <t>Reprodukton_3_ar_oforandrad</t>
  </si>
  <si>
    <t>Reprodukton_3_ar_okat</t>
  </si>
  <si>
    <t>Kalvvikt_3_ar_minskat</t>
  </si>
  <si>
    <t>Kalvvikt_3_ar_oforandrad</t>
  </si>
  <si>
    <t>Kalvvikt_3_ar_okat</t>
  </si>
  <si>
    <t>Bed_älgobs</t>
  </si>
  <si>
    <t>Bed_Sp_inv</t>
  </si>
  <si>
    <t>Sp_inv_utf_ar</t>
  </si>
  <si>
    <t>Bed_flyg_inv</t>
  </si>
  <si>
    <t>Flyg_inv_utf_ar</t>
  </si>
  <si>
    <t>Flyg_inv_typ</t>
  </si>
  <si>
    <t>Bed_annat_inv</t>
  </si>
  <si>
    <t>Foderpr_ar_-3</t>
  </si>
  <si>
    <t>Foderpr_ar_-2</t>
  </si>
  <si>
    <t>Foderpr_ar_-1</t>
  </si>
  <si>
    <t>Foderpr_ar_-0</t>
  </si>
  <si>
    <t>Foderpr_ar_1</t>
  </si>
  <si>
    <t>Foderpr_ar_2</t>
  </si>
  <si>
    <t>Foderpr_ar_3</t>
  </si>
  <si>
    <t>RASE_pr_ar_-2</t>
  </si>
  <si>
    <t>RASE_pr_ar_-1</t>
  </si>
  <si>
    <t>RASE_pr_ar_0</t>
  </si>
  <si>
    <t>Tallf_okat</t>
  </si>
  <si>
    <t>Tallf_oforandrad</t>
  </si>
  <si>
    <t>Tallf_minskat</t>
  </si>
  <si>
    <t>ABIN_val_1</t>
  </si>
  <si>
    <t>ABIN_val_1_ar_-3</t>
  </si>
  <si>
    <t>ABIN_val_1_ar_-2</t>
  </si>
  <si>
    <t>ABIN_val_1_ar_-1</t>
  </si>
  <si>
    <t>ABIN_val_1_ar_0</t>
  </si>
  <si>
    <t>ABIN_val_2</t>
  </si>
  <si>
    <t>ABIN_val_2_ar_-3</t>
  </si>
  <si>
    <t>ABIN_val_2_ar_-2</t>
  </si>
  <si>
    <t>ABIN_val_2_ar_-1</t>
  </si>
  <si>
    <t>ABIN_val_2_ar_0</t>
  </si>
  <si>
    <t>ABIN_val_3</t>
  </si>
  <si>
    <t>ABIN_val_3_ar_-3</t>
  </si>
  <si>
    <t>ABIN_val_3_ar_-2</t>
  </si>
  <si>
    <t>ABIN_val_3_ar_-1</t>
  </si>
  <si>
    <t>ABIN_val_3_ar_0</t>
  </si>
  <si>
    <t>ABIN_val_4</t>
  </si>
  <si>
    <t>ABIN_val_4_ar_-3</t>
  </si>
  <si>
    <t>ABIN_val_4_ar_-2</t>
  </si>
  <si>
    <t>ABIN_val_4_ar_-1</t>
  </si>
  <si>
    <t>ABIN_val_4_ar_0</t>
  </si>
  <si>
    <t>Tolererb_tall</t>
  </si>
  <si>
    <t>Otolererb_tall</t>
  </si>
  <si>
    <t>Tolererb_gran</t>
  </si>
  <si>
    <t>Otolererb_gran</t>
  </si>
  <si>
    <t>RASE_val_ar_-2</t>
  </si>
  <si>
    <t>RASE_val_ar_-1</t>
  </si>
  <si>
    <t>RASE_val_ar_0</t>
  </si>
  <si>
    <t>Bedomning_betestryck</t>
  </si>
  <si>
    <t>Skada_gr_tol</t>
  </si>
  <si>
    <t>Skada_gr_otol</t>
  </si>
  <si>
    <t>Redog_skador_gr</t>
  </si>
  <si>
    <t>Olyckor_ar_-3</t>
  </si>
  <si>
    <t>Olyckor_ar_-2</t>
  </si>
  <si>
    <t>Olyckor_ar_0</t>
  </si>
  <si>
    <t>Trafikd_tjur_ar_-3</t>
  </si>
  <si>
    <t>Trafikd_tjur_ar_-2</t>
  </si>
  <si>
    <t>Trafikd_tjur_ar_-1</t>
  </si>
  <si>
    <t>Trafikd_ko_ar_-3</t>
  </si>
  <si>
    <t>Trafikd_ko_ar_-2</t>
  </si>
  <si>
    <t>Trafikd_ko_ar_-1</t>
  </si>
  <si>
    <t>Trafikd_kalv_ar_-3</t>
  </si>
  <si>
    <t>Trafikd_kalv_ar_-2</t>
  </si>
  <si>
    <t>Trafikd_kalv_ar_-1</t>
  </si>
  <si>
    <t>Ovrd_tjur_ar_-3</t>
  </si>
  <si>
    <t>Ovrd_tjur_ar_-2</t>
  </si>
  <si>
    <t>Ovrd_tjur_ar_-1</t>
  </si>
  <si>
    <t>Ovrd_ko_ar_-3</t>
  </si>
  <si>
    <t>Ovrd_ko_ar_-2</t>
  </si>
  <si>
    <t>Ovrd_ko_ar_-1</t>
  </si>
  <si>
    <t>Ovrd_kalv_ar_-3</t>
  </si>
  <si>
    <t>Ovrd_kalv_ar_-2</t>
  </si>
  <si>
    <t>Ovrd_kalv_ar_-1</t>
  </si>
  <si>
    <t>Vargrevir_1</t>
  </si>
  <si>
    <t>Vargrevir_1_del_AFO</t>
  </si>
  <si>
    <t>Vargrevir_1_predation_antal</t>
  </si>
  <si>
    <t>Vargrevir_2</t>
  </si>
  <si>
    <t>Vargrevir_2_del_AFO</t>
  </si>
  <si>
    <t>Vargrevir_2_predation_antal</t>
  </si>
  <si>
    <t>Vargrevir_3</t>
  </si>
  <si>
    <t>Vargrevir_3_del_AFO</t>
  </si>
  <si>
    <t>Vargrevir_3_predation_antal</t>
  </si>
  <si>
    <t>Vargrevir_4</t>
  </si>
  <si>
    <t>Vargrevir_4_del_AFO</t>
  </si>
  <si>
    <t>Vargrevir_4_predation_antal</t>
  </si>
  <si>
    <t>Vargrevir_5</t>
  </si>
  <si>
    <t>Vargrevir_5_del_AFO</t>
  </si>
  <si>
    <t>Vargrevir_5_predation_antal</t>
  </si>
  <si>
    <t>Bjornt_AFO</t>
  </si>
  <si>
    <t>Pred_per_bjorn</t>
  </si>
  <si>
    <t>Trend_lista_1</t>
  </si>
  <si>
    <t>Trend_lista_2</t>
  </si>
  <si>
    <t>Trend_lista_3</t>
  </si>
  <si>
    <t>Trend_lista_4</t>
  </si>
  <si>
    <t>Trend_lista_5</t>
  </si>
  <si>
    <t>Trend_lista_6</t>
  </si>
  <si>
    <t>Trend_lista_7</t>
  </si>
  <si>
    <t>Trend_lista_8</t>
  </si>
  <si>
    <t>Trend_lista_9</t>
  </si>
  <si>
    <t>Trend_lista_10</t>
  </si>
  <si>
    <t>Trend_lista_11</t>
  </si>
  <si>
    <t>Trend_lista_12</t>
  </si>
  <si>
    <t>Atgard_lista_1</t>
  </si>
  <si>
    <t>Atgard_lista_2</t>
  </si>
  <si>
    <t>Atgard_lista_3</t>
  </si>
  <si>
    <t>Atgard_lista_4</t>
  </si>
  <si>
    <t>Atgard_lista_5</t>
  </si>
  <si>
    <t>Atgard_lista_6</t>
  </si>
  <si>
    <t>Atgard_lista_7</t>
  </si>
  <si>
    <t>Atgard_lista_8</t>
  </si>
  <si>
    <t>Atgard_lista_9</t>
  </si>
  <si>
    <t>Atgard_lista_10</t>
  </si>
  <si>
    <t>Atgard_lista_11</t>
  </si>
  <si>
    <t>Atgard_lista_12</t>
  </si>
  <si>
    <t>Avsk_mal_tjur_ar_1</t>
  </si>
  <si>
    <t>Avsk_mal_tjur_ar_2</t>
  </si>
  <si>
    <t>Avsk_mal_tjur_ar_3</t>
  </si>
  <si>
    <t>Avsk_mal_ko_ar_1</t>
  </si>
  <si>
    <t>Avsk_mal_ko_ar_2</t>
  </si>
  <si>
    <t>Avsk_mal_ko_ar_3</t>
  </si>
  <si>
    <t>Avsk_mal_kalv_ar_1</t>
  </si>
  <si>
    <t>Avsk_mal_kalv_ar_2</t>
  </si>
  <si>
    <t>Avsk_mal_kalv_ar_3</t>
  </si>
  <si>
    <t>Ber_frode</t>
  </si>
  <si>
    <t>Ber_egen</t>
  </si>
  <si>
    <t>Planerad_ABIN_ar_+1</t>
  </si>
  <si>
    <t>Planerad_ABIN_ar_+2</t>
  </si>
  <si>
    <t>Planerad_ABIN_ar_+3</t>
  </si>
  <si>
    <t>Planerad_spillninv_ar_+1</t>
  </si>
  <si>
    <t>Planerad_spillninv_ar_+2</t>
  </si>
  <si>
    <t>Planerad_spillninv_ar_+3</t>
  </si>
  <si>
    <t>Planerad_flyginv_ar_+1</t>
  </si>
  <si>
    <t>Planerad_flyginv_ar_+2</t>
  </si>
  <si>
    <t>Planerad_flyginv_ar_+3</t>
  </si>
  <si>
    <t>Planerad_avskinv_ar_+1</t>
  </si>
  <si>
    <t>Planerad_avskinv_ar_+2</t>
  </si>
  <si>
    <t>Planerad_avskinv_ar_+3</t>
  </si>
  <si>
    <t>Planerad_algobsinv_ar_+1</t>
  </si>
  <si>
    <t>Planerad_algobsinv_ar_+2</t>
  </si>
  <si>
    <t>Planerad_algobsinv_ar_+3</t>
  </si>
  <si>
    <t>Planerad_kalvviktinv_ar_+1</t>
  </si>
  <si>
    <t>Planerad_kalvviktinv_ar_+2</t>
  </si>
  <si>
    <t>Planerad_kalvviktinv_ar_+3</t>
  </si>
  <si>
    <t>Planerad_foderpr_ar_+1</t>
  </si>
  <si>
    <t>Planerad_foderpr_ar_+2</t>
  </si>
  <si>
    <t>Planerad_foderpr_ar_+3</t>
  </si>
  <si>
    <t>Utfall_vinterst_ar_0</t>
  </si>
  <si>
    <t>Utfall_vinterst_ar_1</t>
  </si>
  <si>
    <t>Utfall_vinterst_ar_2</t>
  </si>
  <si>
    <t>tjurandel_tjurandel_ar_0</t>
  </si>
  <si>
    <t>Utfall_tjurandel_ar_1</t>
  </si>
  <si>
    <t>Utfall_tjurandel_ar_2</t>
  </si>
  <si>
    <t>Utfall_repr_ar_0</t>
  </si>
  <si>
    <t>Utfall_repr_ar_1</t>
  </si>
  <si>
    <t>Utfall_repr_ar_2</t>
  </si>
  <si>
    <t>Utfall_kalvandel_ar_0</t>
  </si>
  <si>
    <t>Utfall_kalvandel_ar_1</t>
  </si>
  <si>
    <t>Utfall_kalvandel_ar_2</t>
  </si>
  <si>
    <t>AFP_enh_ant_ja</t>
  </si>
  <si>
    <t>AFP_enh_ant_nej</t>
  </si>
  <si>
    <t>Fullmakt_AFP_ja</t>
  </si>
  <si>
    <t>Fullmakt_AFP_nej</t>
  </si>
  <si>
    <t>Kommentar_1_1</t>
  </si>
  <si>
    <t>Kommentar_2_1_rad_1</t>
  </si>
  <si>
    <t>Kommentar_2_1_rad_2</t>
  </si>
  <si>
    <t>Kommentar_2_1_2_rad_1</t>
  </si>
  <si>
    <t>Kommentar_2_1_2_rad_2</t>
  </si>
  <si>
    <t>Kommentar_2_1_3_rad_1</t>
  </si>
  <si>
    <t>Kommentar_2_1_3_rad_2</t>
  </si>
  <si>
    <t>Kommentar_2_1_4_rad_1</t>
  </si>
  <si>
    <t>Kommentar_2_1_4_rad_2</t>
  </si>
  <si>
    <t>Kommentar_2_1_5_rad_1</t>
  </si>
  <si>
    <t>Kommentar_2_1_5_rad_2</t>
  </si>
  <si>
    <t>Kommentar_2_1_6_rad_1</t>
  </si>
  <si>
    <t>Kommentar_2_1_6_rad_2</t>
  </si>
  <si>
    <t>Kommentar_2_1_7_rad_1</t>
  </si>
  <si>
    <t>Kommentar_2_1_7_rad_2</t>
  </si>
  <si>
    <t>Kommentar_2_1_8_rad_1</t>
  </si>
  <si>
    <t>Kommentar_2_1_8_rad_2</t>
  </si>
  <si>
    <t>Kommentar_2_2_2_rad_1</t>
  </si>
  <si>
    <t>Kommentar_2_2_2_rad_2</t>
  </si>
  <si>
    <t>Kommentar_2_2_2_rad_3</t>
  </si>
  <si>
    <t>Kommentar_2_2_2_rad_4</t>
  </si>
  <si>
    <t>Motivering_4_1_rad_1</t>
  </si>
  <si>
    <t>Motivering_4_1_rad_2</t>
  </si>
  <si>
    <t>Kommentarer_4_3_rad_1</t>
  </si>
  <si>
    <t>Kommentarer_4_3_rad_2</t>
  </si>
  <si>
    <t>Sekr_namn</t>
  </si>
  <si>
    <t>Ordf_namn</t>
  </si>
  <si>
    <t>Tillsyrkt</t>
  </si>
  <si>
    <t>Ej_tillstyrkt</t>
  </si>
  <si>
    <t>Motivering_5_1_rad_1</t>
  </si>
  <si>
    <t>Motivering_5_1_rad_2</t>
  </si>
  <si>
    <t>Motivering_5_1_rad_3</t>
  </si>
  <si>
    <t>Underlag för beräkning av avskjutningen</t>
  </si>
  <si>
    <t>Underlaget hämtas från  punkt nr. i Älgskötselplanen</t>
  </si>
  <si>
    <t>Data från älgskötselplanen</t>
  </si>
  <si>
    <t xml:space="preserve">a. Den totala avskjutningen inom ÄSO på årsbasis </t>
  </si>
  <si>
    <t>Areal (respektive år)</t>
  </si>
  <si>
    <t>Sammanställning av avskjutningen de senaste tre åren för uppföljning av kvalitetsmålen i punkt 7.</t>
  </si>
  <si>
    <t xml:space="preserve">b Övrig dödlighet inom ÄSO på årsbasis </t>
  </si>
  <si>
    <t>Predation</t>
  </si>
  <si>
    <t>Total övrig dödlighet inom ÄSO:</t>
  </si>
  <si>
    <t>* Baserat på beräknat antal djur i sommarstam</t>
  </si>
  <si>
    <t xml:space="preserve">c Beräkning av täthet, reproduktion och sammansättning inom ÄSO </t>
  </si>
  <si>
    <t>Obs/mantimme</t>
  </si>
  <si>
    <t>Kalv/hondjur</t>
  </si>
  <si>
    <t>Tjur/vuxna</t>
  </si>
  <si>
    <t>* Om värden saknas för fyra år beräknas medel på antal inventerade år.</t>
  </si>
  <si>
    <t xml:space="preserve">Spillningsinventering </t>
  </si>
  <si>
    <t>Medel 3 senaste år *</t>
  </si>
  <si>
    <t>älg/1000 ha</t>
  </si>
  <si>
    <t>* Om värden saknas för tre år beräknas medel på antal inventerade år.</t>
  </si>
  <si>
    <t xml:space="preserve">Flyginventering </t>
  </si>
  <si>
    <t>Övriga underlag (bifogas):</t>
  </si>
  <si>
    <t>Bedömning av älgstammens täthet</t>
  </si>
  <si>
    <t>Älgskötselområdet bedömmer älgstammens täthet (vinterstam) utifrån tillgängliga data och övriga erfarenheter</t>
  </si>
  <si>
    <t>Bedömd vinterstam</t>
  </si>
  <si>
    <t>Älgar per 1000 ha</t>
  </si>
  <si>
    <t>Motivering till ställningstagande</t>
  </si>
  <si>
    <t>Bedömning av älgstammens reproduktion</t>
  </si>
  <si>
    <t>Älgskötselområdet bedömmer älgstammens reproduktion utifrån tillgängliga data och övriga erfarenheter</t>
  </si>
  <si>
    <t>Bedömd reproduktion Kalvar per hondjur (observerad kalv per vuxet hondjur vid jakt)</t>
  </si>
  <si>
    <t>Kalv per hondjur</t>
  </si>
  <si>
    <t>Bedömning av områdets förväntade utveckling av kalvandelen i älgobsen.</t>
  </si>
  <si>
    <t>Bedömning av älgstammens sammansättning</t>
  </si>
  <si>
    <t>Älgskötselområdet bedömmer älgstammens sammansättning av andel tjur, hondjur och kalv (vinterstam) utifrån tillgängliga data och övriga erfarenheter</t>
  </si>
  <si>
    <t>Sammansättning enligt älgobs (medelvärde senaste 4 åren)</t>
  </si>
  <si>
    <t>Sommarstam</t>
  </si>
  <si>
    <t>Jaktuttag</t>
  </si>
  <si>
    <t>Efter jakt</t>
  </si>
  <si>
    <t>Fördelning vinterstam 2)</t>
  </si>
  <si>
    <t xml:space="preserve">Beräknar på genomsnittet av de fyra sista årens älgobs med kompensation för det senaste jakårets avskjutning (djur som observerats och fällts under jakten) </t>
  </si>
  <si>
    <t>Beräknad reproduktionsfaktor 1)</t>
  </si>
  <si>
    <t>1) Genomsnittligt ökning från vinter till älgstammens sammansättning i vid jakt enligt redovisad älgobs</t>
  </si>
  <si>
    <t>Ange faktor för avskjutningen beräknat som andel av vinterstammen</t>
  </si>
  <si>
    <t>Tjuavskj. föregående jakt i ÄSO</t>
  </si>
  <si>
    <t xml:space="preserve">2) Beräknad från fördelning i avskjutning,älgobs och bedömd vinterstam </t>
  </si>
  <si>
    <t>Hondjursavskj. föreg.  jakt i ÄSO</t>
  </si>
  <si>
    <t>Kalvavskj. föregående jakt i ÄSO</t>
  </si>
  <si>
    <t xml:space="preserve">Bedömd sammansättning andel vid periodens start </t>
  </si>
  <si>
    <t>Bedömning övrig dödlighet under perioden</t>
  </si>
  <si>
    <t>(förutom rovdjurspredation som redovisas direkt i avskjutningsberäkningen)</t>
  </si>
  <si>
    <t>Areal</t>
  </si>
  <si>
    <t>Antal älgar i vinterstam</t>
  </si>
  <si>
    <t>Faktor för reproduktion</t>
  </si>
  <si>
    <t>Antal älgar i sommarstam</t>
  </si>
  <si>
    <t>Medeltal antal döda älgar per år</t>
  </si>
  <si>
    <t>Dödlighet %</t>
  </si>
  <si>
    <t>Känd övrig dödlighet i populationen baserat på redovisad genomsnittlig dödlighet i skötselplanen.</t>
  </si>
  <si>
    <t>Känd övrig dödlighet</t>
  </si>
  <si>
    <t>Ange faktor för stammens reprodkton uttryckt som utveckling från vinterstam till sommarstam (normala värden 1,3-1,5)</t>
  </si>
  <si>
    <t>Bedömd övrig dödlighet under perioden</t>
  </si>
  <si>
    <t>Övrig dödlighet i populationen. Nomalt hittas inta alla döda djur värdet är därför högre än den kända övriga dödligheten.</t>
  </si>
  <si>
    <t>Avskjutningsberäkning</t>
  </si>
  <si>
    <t>Perioden</t>
  </si>
  <si>
    <t>tom.</t>
  </si>
  <si>
    <t>år</t>
  </si>
  <si>
    <t>Reproduktion</t>
  </si>
  <si>
    <t>Dödlighet</t>
  </si>
  <si>
    <t>ha</t>
  </si>
  <si>
    <t>Vinterstam (efter jakt)</t>
  </si>
  <si>
    <t>älgar/1000 ha</t>
  </si>
  <si>
    <t>Andel tjurkalv</t>
  </si>
  <si>
    <t>Andel tjukalv av födda kalvar, normalt är andelen födda tjurkalvar större än andelen föda kvigkalvar</t>
  </si>
  <si>
    <t>Predation innan jaktstart</t>
  </si>
  <si>
    <t>Kompenation för predationen som sker innan älgobsen genomförs.Älgobsen används för beräkning av reproduktionstalet.</t>
  </si>
  <si>
    <t>Vinterstam</t>
  </si>
  <si>
    <t>Antal</t>
  </si>
  <si>
    <t>Antal/1000 ha</t>
  </si>
  <si>
    <t>Tjur/vux</t>
  </si>
  <si>
    <t>Tjurandel av vux</t>
  </si>
  <si>
    <t>Sammansättning %</t>
  </si>
  <si>
    <t>Tillförsel djur (1 åringar och repr.)</t>
  </si>
  <si>
    <t>Rovdjurspredation</t>
  </si>
  <si>
    <t>Övrig dödlighet</t>
  </si>
  <si>
    <t>Sammanställning</t>
  </si>
  <si>
    <t>Stora Sävsjöns älg- och kronhjortsskötselområde</t>
  </si>
  <si>
    <t>Älgskötselplan för perioden (start)</t>
  </si>
  <si>
    <t>Älgskötselplan för perioden (slut)</t>
  </si>
  <si>
    <t>Äso:s registrerade areal i ha</t>
  </si>
  <si>
    <t>Länsstyrelsen i Hallands län</t>
  </si>
  <si>
    <t>Tillhör ÄFO</t>
  </si>
  <si>
    <t>Ansvarig Förnamn</t>
  </si>
  <si>
    <t>Johan</t>
  </si>
  <si>
    <t>Ansvarig Efternamn</t>
  </si>
  <si>
    <t>Herbertsson</t>
  </si>
  <si>
    <t>Målsättning - Avskjutning</t>
  </si>
  <si>
    <t>Avskjutning - År</t>
  </si>
  <si>
    <t>Avskjutning - Tjur</t>
  </si>
  <si>
    <t>Avskjutning - Hondjur</t>
  </si>
  <si>
    <t>Avskjutning - Kalv</t>
  </si>
  <si>
    <t>Älgobs - År</t>
  </si>
  <si>
    <t>Älgobs - Antal obstimmar</t>
  </si>
  <si>
    <t>Älgobs - Observationer per mantimme</t>
  </si>
  <si>
    <t>Älgobs - Antal kalvar per hondjur</t>
  </si>
  <si>
    <t>Älgobs - Andel tjur av vuxna</t>
  </si>
  <si>
    <t>Kalvvikter - År</t>
  </si>
  <si>
    <t>Kalvvikter - Slaktvikt i kg septemberjakten (vägda)</t>
  </si>
  <si>
    <t>Kalvvikter - Slaktvikt i kg oktoberjakten (vägda)</t>
  </si>
  <si>
    <t>Kalvvikter - Slaktvikt i kg medel (vägda)</t>
  </si>
  <si>
    <t>Kalvvikter - Antal (vägda)</t>
  </si>
  <si>
    <t>Vuxna vikter - kor</t>
  </si>
  <si>
    <t>Vuxna vikter - kor - År</t>
  </si>
  <si>
    <t>Vuxna vikter - kor - Slaktvikt i kg medel (vägda)</t>
  </si>
  <si>
    <t>Vuxna vikter - kor - Antal (vägda)</t>
  </si>
  <si>
    <t>Vuxna vikter - tjurar</t>
  </si>
  <si>
    <t>Vuxna vikter - tjurar - År</t>
  </si>
  <si>
    <t>Vuxna vikter - tjurar - Slaktvikt i kg medel (vägda)</t>
  </si>
  <si>
    <t>Vuxna vikter - tjurar - Antal (vägda)</t>
  </si>
  <si>
    <t>Medelålder</t>
  </si>
  <si>
    <t>Medelålder - År</t>
  </si>
  <si>
    <t>Reproduktion - År</t>
  </si>
  <si>
    <t>Reproduktion - Ägg per hondjur (livmoderanalys)</t>
  </si>
  <si>
    <t>0.0</t>
  </si>
  <si>
    <t>Skogsdata</t>
  </si>
  <si>
    <t>Fodertillgång och prognos - År</t>
  </si>
  <si>
    <t>Inventeringar - År</t>
  </si>
  <si>
    <t>Ange inventeringsår</t>
  </si>
  <si>
    <t>Område</t>
  </si>
  <si>
    <t>Beräknas</t>
  </si>
  <si>
    <t>Kommentar</t>
  </si>
  <si>
    <t>Antal högar</t>
  </si>
  <si>
    <t>Antal dagar *</t>
  </si>
  <si>
    <t>Datum invent- ering *</t>
  </si>
  <si>
    <t>Datum rensning (om höst-rensning)</t>
  </si>
  <si>
    <t>Antal provytor beräkning</t>
  </si>
  <si>
    <t>Antal dagar</t>
  </si>
  <si>
    <t>% av tot inventering</t>
  </si>
  <si>
    <t>Täthetsindex (konstant total beräkning)</t>
  </si>
  <si>
    <t>Vinterstam (Konstant total beräkning)</t>
  </si>
  <si>
    <t>Invstart(endast för beräkning)</t>
  </si>
  <si>
    <t>Invdag medel (endast för beräkning)</t>
  </si>
  <si>
    <t>Faktor SANT/FALSKT</t>
  </si>
  <si>
    <t>Fnamn Enamn 1</t>
  </si>
  <si>
    <t>Inventeringsområde 1</t>
  </si>
  <si>
    <t>Fnamn Enamn 2</t>
  </si>
  <si>
    <t>Inventeringsområde 2</t>
  </si>
  <si>
    <t>Fnamn Enamn 3</t>
  </si>
  <si>
    <t>Inventeringsområde 3</t>
  </si>
  <si>
    <t>Fnamn Enamn 4</t>
  </si>
  <si>
    <t>Inventeringsområde 4</t>
  </si>
  <si>
    <t>Fnamn Enamn 5</t>
  </si>
  <si>
    <t>Inventeringsområde 5</t>
  </si>
  <si>
    <t>Fnamn Enamn 6</t>
  </si>
  <si>
    <t>Inventeringsområde 6</t>
  </si>
  <si>
    <t>Fnamn Enamn 7</t>
  </si>
  <si>
    <t>Inventeringsområde 7</t>
  </si>
  <si>
    <t>Fnamn Enamn 8</t>
  </si>
  <si>
    <t>Inventeringsområde 8</t>
  </si>
  <si>
    <t>Fnamn Enamn 9</t>
  </si>
  <si>
    <t>Inventeringsområde 9</t>
  </si>
  <si>
    <t>Fnamn Enamn 10</t>
  </si>
  <si>
    <t>Inventeringsområde 10</t>
  </si>
  <si>
    <t>Inventeingsområden totalt resultat (viktat medelvärde)</t>
  </si>
  <si>
    <t>* ange antingen "Antal dagar" eller "Datum inventering"</t>
  </si>
  <si>
    <t>Område för ifyllning av inventerindsdata eller faktorer</t>
  </si>
  <si>
    <t>Område för beräkningsvärden (ifylls ej)</t>
  </si>
  <si>
    <t>Område med resultat (ifylls ej)</t>
  </si>
  <si>
    <t>Faktorer</t>
  </si>
  <si>
    <t>Inventeringsperiodens start (lövfällningsdatum)</t>
  </si>
  <si>
    <t>Anlys inventeringsperiod (+ eller - antal dagar lövfällning)</t>
  </si>
  <si>
    <t>Defekationshastighet (spillningshögar/dygn)</t>
  </si>
  <si>
    <t>Datum rensning (om höstrensning)</t>
  </si>
  <si>
    <t>13-83-24-020-Ä</t>
  </si>
  <si>
    <t>Rapport vid samrådsmöte med jaktledare och markägare inför ny skötselplan.</t>
  </si>
  <si>
    <t>Det har inte varit några klagomål, vi har främst skogsmark.</t>
  </si>
  <si>
    <t>Johan Herbertsson</t>
  </si>
  <si>
    <t>Älgstammen är starkt vikande, vilket älgobs och avskjutning ger uttryck för.</t>
  </si>
  <si>
    <t>Positivt att slaktvikt för kalv ökat, dock är det ofta stor skillnad mellan lägsta och högsta slaktvikt. Kor som brunstat om och fött kalv senare?</t>
  </si>
  <si>
    <t>16.63</t>
  </si>
  <si>
    <t>8.2</t>
  </si>
  <si>
    <t>5.5</t>
  </si>
  <si>
    <t>8.4</t>
  </si>
  <si>
    <t>7.9</t>
  </si>
  <si>
    <t>5.8</t>
  </si>
  <si>
    <t>7.5</t>
  </si>
  <si>
    <t>På en fastighet med provyta var nyligen avverkad tall, därav blev det mycket höga tal.</t>
  </si>
  <si>
    <t>7.6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</si>
</sst>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0"/>
    <numFmt numFmtId="165" formatCode="#,##0_ ;\-#,##0\ "/>
    <numFmt numFmtId="166" formatCode="0&quot; kg&quot;"/>
    <numFmt numFmtId="167" formatCode="0&quot; %&quot;"/>
    <numFmt numFmtId="168" formatCode="0.0%"/>
    <numFmt numFmtId="169" formatCode="0.000"/>
  </numFmts>
  <fonts count="55" x14ac:knownFonts="1">
    <font>
      <sz val="11"/>
      <color theme="1"/>
      <name val="Calibri"/>
      <family val="2"/>
      <scheme val="minor"/>
    </font>
    <font>
      <b/>
      <sz val="11"/>
      <color theme="1"/>
      <name val="Calibri"/>
      <family val="2"/>
      <scheme val="minor"/>
    </font>
    <font>
      <sz val="9"/>
      <color theme="1"/>
      <name val="Calibri"/>
      <family val="2"/>
      <scheme val="minor"/>
    </font>
    <font>
      <sz val="11"/>
      <color theme="1"/>
      <name val="Calibri"/>
      <family val="2"/>
      <scheme val="minor"/>
    </font>
    <font>
      <sz val="11"/>
      <color rgb="FF3F3F76"/>
      <name val="Calibri"/>
      <family val="2"/>
      <scheme val="minor"/>
    </font>
    <font>
      <b/>
      <sz val="11"/>
      <color rgb="FFFF0000"/>
      <name val="Calibri"/>
      <family val="2"/>
      <scheme val="minor"/>
    </font>
    <font>
      <b/>
      <sz val="12"/>
      <color theme="1"/>
      <name val="Calibri"/>
      <family val="2"/>
      <scheme val="minor"/>
    </font>
    <font>
      <sz val="9"/>
      <color indexed="8"/>
      <name val="Calibri"/>
      <family val="2"/>
    </font>
    <font>
      <b/>
      <sz val="11"/>
      <color indexed="8"/>
      <name val="Calibri"/>
      <family val="2"/>
    </font>
    <font>
      <b/>
      <sz val="14"/>
      <color theme="1"/>
      <name val="Calibri"/>
      <family val="2"/>
      <scheme val="minor"/>
    </font>
    <font>
      <b/>
      <sz val="16"/>
      <color theme="1"/>
      <name val="Calibri"/>
      <family val="2"/>
      <scheme val="minor"/>
    </font>
    <font>
      <b/>
      <sz val="18"/>
      <color theme="1"/>
      <name val="Calibri"/>
      <family val="2"/>
      <scheme val="minor"/>
    </font>
    <font>
      <b/>
      <sz val="20"/>
      <color theme="1"/>
      <name val="Calibri"/>
      <family val="2"/>
      <scheme val="minor"/>
    </font>
    <font>
      <i/>
      <sz val="11"/>
      <color theme="1"/>
      <name val="Calibri"/>
      <family val="2"/>
      <scheme val="minor"/>
    </font>
    <font>
      <sz val="12"/>
      <color theme="1"/>
      <name val="Calibri"/>
      <family val="2"/>
      <scheme val="minor"/>
    </font>
    <font>
      <sz val="14"/>
      <color theme="1"/>
      <name val="Calibri"/>
      <family val="2"/>
      <scheme val="minor"/>
    </font>
    <font>
      <sz val="11"/>
      <color indexed="8"/>
      <name val="Calibri"/>
      <family val="2"/>
    </font>
    <font>
      <i/>
      <sz val="14"/>
      <color theme="1"/>
      <name val="Calibri"/>
      <family val="2"/>
      <scheme val="minor"/>
    </font>
    <font>
      <u/>
      <sz val="11"/>
      <color theme="10"/>
      <name val="Calibri"/>
      <family val="2"/>
      <scheme val="minor"/>
    </font>
    <font>
      <sz val="16"/>
      <color theme="1"/>
      <name val="Calibri"/>
      <family val="2"/>
      <scheme val="minor"/>
    </font>
    <font>
      <i/>
      <sz val="16"/>
      <color theme="1"/>
      <name val="Calibri"/>
      <family val="2"/>
      <scheme val="minor"/>
    </font>
    <font>
      <sz val="8"/>
      <color rgb="FF000000"/>
      <name val="Tahoma"/>
      <family val="2"/>
    </font>
    <font>
      <b/>
      <sz val="8"/>
      <color indexed="8"/>
      <name val="Calibri"/>
      <family val="2"/>
    </font>
    <font>
      <b/>
      <i/>
      <sz val="11"/>
      <color theme="1"/>
      <name val="Calibri"/>
      <family val="2"/>
      <scheme val="minor"/>
    </font>
    <font>
      <sz val="11"/>
      <color theme="0"/>
      <name val="Calibri"/>
      <family val="2"/>
      <scheme val="minor"/>
    </font>
    <font>
      <b/>
      <sz val="10"/>
      <name val="Arial"/>
      <family val="2"/>
    </font>
    <font>
      <sz val="10"/>
      <name val="Arial"/>
      <family val="2"/>
    </font>
    <font>
      <sz val="11"/>
      <color indexed="62"/>
      <name val="Calibri"/>
      <family val="2"/>
    </font>
    <font>
      <sz val="8"/>
      <color indexed="8"/>
      <name val="Calibri"/>
      <family val="2"/>
    </font>
    <font>
      <b/>
      <sz val="11"/>
      <color indexed="62"/>
      <name val="Calibri"/>
      <family val="2"/>
    </font>
    <font>
      <i/>
      <u/>
      <sz val="11"/>
      <color theme="10"/>
      <name val="Calibri"/>
      <family val="2"/>
      <scheme val="minor"/>
    </font>
    <font>
      <sz val="10"/>
      <color theme="0"/>
      <name val="Arial"/>
      <family val="2"/>
    </font>
    <font>
      <sz val="10"/>
      <color theme="1"/>
      <name val="Arial"/>
      <family val="2"/>
    </font>
    <font>
      <b/>
      <sz val="10"/>
      <color theme="1"/>
      <name val="Arial"/>
      <family val="2"/>
    </font>
    <font>
      <b/>
      <sz val="14"/>
      <color theme="1"/>
      <name val="Calibri"/>
      <family val="2"/>
    </font>
    <font>
      <sz val="14"/>
      <color theme="1"/>
      <name val="Calibri"/>
      <family val="2"/>
    </font>
    <font>
      <b/>
      <sz val="16"/>
      <color theme="1"/>
      <name val="Calibri"/>
      <family val="2"/>
    </font>
    <font>
      <b/>
      <i/>
      <u/>
      <sz val="16"/>
      <color theme="1"/>
      <name val="Calibri"/>
      <family val="2"/>
    </font>
    <font>
      <b/>
      <sz val="18"/>
      <color theme="1"/>
      <name val="Calibri"/>
      <family val="2"/>
    </font>
    <font>
      <i/>
      <sz val="14"/>
      <color theme="1"/>
      <name val="Calibri"/>
      <family val="2"/>
    </font>
    <font>
      <b/>
      <i/>
      <u/>
      <sz val="14"/>
      <color theme="1"/>
      <name val="Calibri"/>
      <family val="2"/>
    </font>
    <font>
      <i/>
      <sz val="11"/>
      <color theme="1"/>
      <name val="Calibri"/>
      <family val="2"/>
    </font>
    <font>
      <i/>
      <u/>
      <sz val="11"/>
      <color theme="1"/>
      <name val="Calibri"/>
      <family val="2"/>
    </font>
    <font>
      <b/>
      <sz val="9"/>
      <color rgb="FF000000"/>
      <name val="Tahoma"/>
      <family val="2"/>
    </font>
    <font>
      <sz val="9"/>
      <color rgb="FF000000"/>
      <name val="Tahoma"/>
      <family val="2"/>
    </font>
    <font>
      <b/>
      <sz val="16"/>
      <color theme="1"/>
      <name val="Arial"/>
      <family val="2"/>
    </font>
    <font>
      <b/>
      <sz val="12"/>
      <color theme="1"/>
      <name val="Arial"/>
      <family val="2"/>
    </font>
    <font>
      <sz val="20"/>
      <color theme="1"/>
      <name val="Calibri"/>
      <family val="2"/>
      <scheme val="minor"/>
    </font>
    <font>
      <b/>
      <sz val="9"/>
      <color indexed="8"/>
      <name val="Calibri"/>
      <family val="2"/>
    </font>
    <font>
      <i/>
      <sz val="10"/>
      <color theme="1"/>
      <name val="Arial"/>
      <family val="2"/>
    </font>
    <font>
      <b/>
      <i/>
      <sz val="9"/>
      <color theme="1"/>
      <name val="Arial"/>
      <family val="2"/>
    </font>
    <font>
      <b/>
      <sz val="9"/>
      <color theme="1"/>
      <name val="Arial"/>
      <family val="2"/>
    </font>
    <font>
      <sz val="9"/>
      <color theme="1"/>
      <name val="Arial"/>
      <family val="2"/>
    </font>
    <font>
      <b/>
      <sz val="10"/>
      <color theme="1"/>
      <name val="Calibri"/>
      <family val="2"/>
      <scheme val="minor"/>
    </font>
    <font>
      <b/>
      <sz val="11"/>
      <color rgb="FF000000"/>
      <name val="Calibri"/>
      <family val="2"/>
    </font>
  </fonts>
  <fills count="23">
    <fill>
      <patternFill patternType="none"/>
    </fill>
    <fill>
      <patternFill patternType="gray125"/>
    </fill>
    <fill>
      <patternFill patternType="solid">
        <fgColor rgb="FFFFCC99"/>
      </patternFill>
    </fill>
    <fill>
      <patternFill patternType="solid">
        <fgColor indexed="47"/>
        <bgColor indexed="64"/>
      </patternFill>
    </fill>
    <fill>
      <patternFill patternType="solid">
        <fgColor theme="9" tint="0.39997558519241921"/>
        <bgColor indexed="64"/>
      </patternFill>
    </fill>
    <fill>
      <patternFill patternType="solid">
        <fgColor theme="2" tint="-9.9978637043366805E-2"/>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FFFFCC"/>
        <bgColor indexed="64"/>
      </patternFill>
    </fill>
    <fill>
      <patternFill patternType="darkDown"/>
    </fill>
    <fill>
      <patternFill patternType="solid">
        <fgColor rgb="FFFFFF00"/>
        <bgColor indexed="64"/>
      </patternFill>
    </fill>
    <fill>
      <patternFill patternType="solid">
        <fgColor theme="5" tint="0.59999389629810485"/>
        <bgColor indexed="64"/>
      </patternFill>
    </fill>
    <fill>
      <patternFill patternType="solid">
        <fgColor rgb="FF00B0F0"/>
        <bgColor indexed="64"/>
      </patternFill>
    </fill>
    <fill>
      <patternFill patternType="solid">
        <fgColor theme="9" tint="0.59999389629810485"/>
        <bgColor indexed="64"/>
      </patternFill>
    </fill>
    <fill>
      <patternFill patternType="solid">
        <fgColor rgb="FF92D050"/>
        <bgColor indexed="64"/>
      </patternFill>
    </fill>
    <fill>
      <patternFill patternType="solid">
        <fgColor theme="0" tint="-4.9989318521683403E-2"/>
        <bgColor indexed="64"/>
      </patternFill>
    </fill>
    <fill>
      <patternFill patternType="solid">
        <fgColor indexed="47"/>
      </patternFill>
    </fill>
    <fill>
      <patternFill patternType="solid">
        <fgColor indexed="43"/>
        <bgColor indexed="64"/>
      </patternFill>
    </fill>
    <fill>
      <patternFill patternType="solid">
        <fgColor rgb="FFFFFF99"/>
        <bgColor indexed="64"/>
      </patternFill>
    </fill>
    <fill>
      <patternFill patternType="solid">
        <fgColor theme="3" tint="0.39997558519241921"/>
        <bgColor indexed="64"/>
      </patternFill>
    </fill>
    <fill>
      <patternFill patternType="solid">
        <fgColor theme="8" tint="0.39997558519241921"/>
        <bgColor indexed="65"/>
      </patternFill>
    </fill>
    <fill>
      <patternFill patternType="solid">
        <fgColor theme="0"/>
        <bgColor indexed="64"/>
      </patternFill>
    </fill>
    <fill>
      <patternFill patternType="solid">
        <fgColor theme="0" tint="-0.14996795556505021"/>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double">
        <color auto="1"/>
      </left>
      <right style="thin">
        <color indexed="64"/>
      </right>
      <top style="thin">
        <color indexed="64"/>
      </top>
      <bottom style="thin">
        <color indexed="64"/>
      </bottom>
      <diagonal/>
    </border>
    <border>
      <left style="thin">
        <color indexed="64"/>
      </left>
      <right style="double">
        <color auto="1"/>
      </right>
      <top style="thin">
        <color indexed="64"/>
      </top>
      <bottom style="thin">
        <color indexed="64"/>
      </bottom>
      <diagonal/>
    </border>
    <border>
      <left style="double">
        <color auto="1"/>
      </left>
      <right style="thin">
        <color indexed="64"/>
      </right>
      <top style="thin">
        <color indexed="64"/>
      </top>
      <bottom/>
      <diagonal/>
    </border>
    <border>
      <left style="thin">
        <color indexed="64"/>
      </left>
      <right style="double">
        <color auto="1"/>
      </right>
      <top style="thin">
        <color indexed="64"/>
      </top>
      <bottom/>
      <diagonal/>
    </border>
    <border>
      <left style="double">
        <color auto="1"/>
      </left>
      <right/>
      <top style="medium">
        <color auto="1"/>
      </top>
      <bottom style="double">
        <color auto="1"/>
      </bottom>
      <diagonal/>
    </border>
    <border>
      <left style="double">
        <color auto="1"/>
      </left>
      <right style="thin">
        <color indexed="64"/>
      </right>
      <top/>
      <bottom style="thin">
        <color indexed="64"/>
      </bottom>
      <diagonal/>
    </border>
    <border>
      <left style="thin">
        <color indexed="64"/>
      </left>
      <right style="double">
        <color auto="1"/>
      </right>
      <top/>
      <bottom style="thin">
        <color indexed="64"/>
      </bottom>
      <diagonal/>
    </border>
    <border>
      <left style="double">
        <color auto="1"/>
      </left>
      <right/>
      <top style="double">
        <color auto="1"/>
      </top>
      <bottom style="medium">
        <color auto="1"/>
      </bottom>
      <diagonal/>
    </border>
    <border>
      <left/>
      <right style="thin">
        <color auto="1"/>
      </right>
      <top style="medium">
        <color auto="1"/>
      </top>
      <bottom style="double">
        <color auto="1"/>
      </bottom>
      <diagonal/>
    </border>
    <border>
      <left style="thin">
        <color auto="1"/>
      </left>
      <right style="thin">
        <color auto="1"/>
      </right>
      <top style="medium">
        <color auto="1"/>
      </top>
      <bottom style="double">
        <color auto="1"/>
      </bottom>
      <diagonal/>
    </border>
    <border>
      <left style="thin">
        <color auto="1"/>
      </left>
      <right style="double">
        <color auto="1"/>
      </right>
      <top style="medium">
        <color auto="1"/>
      </top>
      <bottom style="double">
        <color auto="1"/>
      </bottom>
      <diagonal/>
    </border>
    <border>
      <left style="thin">
        <color auto="1"/>
      </left>
      <right style="double">
        <color auto="1"/>
      </right>
      <top style="double">
        <color auto="1"/>
      </top>
      <bottom style="medium">
        <color auto="1"/>
      </bottom>
      <diagonal/>
    </border>
    <border>
      <left style="thin">
        <color auto="1"/>
      </left>
      <right style="thin">
        <color auto="1"/>
      </right>
      <top style="double">
        <color auto="1"/>
      </top>
      <bottom style="medium">
        <color auto="1"/>
      </bottom>
      <diagonal/>
    </border>
    <border>
      <left/>
      <right/>
      <top/>
      <bottom style="medium">
        <color indexed="64"/>
      </bottom>
      <diagonal/>
    </border>
    <border>
      <left style="double">
        <color indexed="64"/>
      </left>
      <right/>
      <top style="double">
        <color indexed="64"/>
      </top>
      <bottom style="double">
        <color auto="1"/>
      </bottom>
      <diagonal/>
    </border>
    <border>
      <left/>
      <right style="double">
        <color indexed="64"/>
      </right>
      <top style="double">
        <color indexed="64"/>
      </top>
      <bottom style="double">
        <color auto="1"/>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bottom/>
      <diagonal/>
    </border>
    <border>
      <left style="thin">
        <color indexed="64"/>
      </left>
      <right/>
      <top/>
      <bottom/>
      <diagonal/>
    </border>
    <border>
      <left style="thin">
        <color rgb="FFB2B2B2"/>
      </left>
      <right style="thin">
        <color rgb="FFB2B2B2"/>
      </right>
      <top style="thin">
        <color rgb="FFB2B2B2"/>
      </top>
      <bottom style="thin">
        <color rgb="FFB2B2B2"/>
      </bottom>
      <diagonal/>
    </border>
    <border>
      <left style="thin">
        <color auto="1"/>
      </left>
      <right style="medium">
        <color auto="1"/>
      </right>
      <top style="thin">
        <color auto="1"/>
      </top>
      <bottom style="thin">
        <color auto="1"/>
      </bottom>
      <diagonal/>
    </border>
  </borders>
  <cellStyleXfs count="8">
    <xf numFmtId="0" fontId="0" fillId="0" borderId="0"/>
    <xf numFmtId="9" fontId="3" fillId="0" borderId="0" applyFont="0" applyFill="0" applyBorder="0" applyAlignment="0" applyProtection="0"/>
    <xf numFmtId="0" fontId="4" fillId="2" borderId="7" applyNumberFormat="0" applyAlignment="0" applyProtection="0"/>
    <xf numFmtId="164" fontId="1" fillId="9" borderId="1">
      <alignment horizontal="center"/>
    </xf>
    <xf numFmtId="0" fontId="26" fillId="0" borderId="0"/>
    <xf numFmtId="0" fontId="27" fillId="16" borderId="31" applyNumberFormat="0" applyAlignment="0" applyProtection="0"/>
    <xf numFmtId="9" fontId="26" fillId="0" borderId="0" applyFont="0" applyFill="0" applyBorder="0" applyAlignment="0" applyProtection="0"/>
    <xf numFmtId="0" fontId="18" fillId="0" borderId="0" applyNumberFormat="0" applyFill="0" applyBorder="0" applyAlignment="0" applyProtection="0"/>
  </cellStyleXfs>
  <cellXfs count="392">
    <xf numFmtId="0" fontId="0" fillId="0" borderId="0" xfId="0"/>
    <xf numFmtId="49" fontId="0" fillId="2" borderId="3" xfId="0" applyNumberFormat="1" applyFill="1" applyBorder="1" applyAlignment="1" applyProtection="1">
      <alignment horizontal="center"/>
      <protection locked="0"/>
    </xf>
    <xf numFmtId="49" fontId="0" fillId="2" borderId="1" xfId="0" applyNumberFormat="1" applyFill="1" applyBorder="1" applyAlignment="1" applyProtection="1">
      <alignment horizontal="left"/>
      <protection locked="0"/>
    </xf>
    <xf numFmtId="0" fontId="6" fillId="0" borderId="1" xfId="0" applyFont="1" applyBorder="1" applyAlignment="1">
      <alignment horizontal="left"/>
    </xf>
    <xf numFmtId="0" fontId="1" fillId="0" borderId="14" xfId="0" applyFont="1" applyBorder="1" applyAlignment="1">
      <alignment horizontal="left"/>
    </xf>
    <xf numFmtId="0" fontId="1" fillId="0" borderId="2" xfId="2" applyFont="1" applyFill="1" applyBorder="1" applyAlignment="1" applyProtection="1">
      <alignment horizontal="center"/>
    </xf>
    <xf numFmtId="0" fontId="1" fillId="0" borderId="0" xfId="0" applyFont="1" applyAlignment="1">
      <alignment horizontal="left"/>
    </xf>
    <xf numFmtId="0" fontId="0" fillId="0" borderId="14" xfId="0" applyBorder="1" applyAlignment="1">
      <alignment horizontal="left"/>
    </xf>
    <xf numFmtId="0" fontId="10" fillId="0" borderId="0" xfId="0" applyFont="1" applyAlignment="1">
      <alignment horizontal="left"/>
    </xf>
    <xf numFmtId="0" fontId="13" fillId="0" borderId="0" xfId="0" applyFont="1" applyAlignment="1">
      <alignment horizontal="left"/>
    </xf>
    <xf numFmtId="0" fontId="8" fillId="10" borderId="3" xfId="0" applyFont="1" applyFill="1" applyBorder="1" applyAlignment="1" applyProtection="1">
      <alignment horizontal="left"/>
      <protection locked="0"/>
    </xf>
    <xf numFmtId="0" fontId="0" fillId="0" borderId="0" xfId="0" applyAlignment="1">
      <alignment wrapText="1"/>
    </xf>
    <xf numFmtId="0" fontId="18" fillId="0" borderId="0" xfId="7" applyNumberFormat="1" applyFill="1" applyAlignment="1" applyProtection="1">
      <alignment wrapText="1"/>
    </xf>
    <xf numFmtId="49" fontId="0" fillId="0" borderId="0" xfId="0" quotePrefix="1" applyNumberFormat="1" applyAlignment="1">
      <alignment wrapText="1"/>
    </xf>
    <xf numFmtId="0" fontId="0" fillId="0" borderId="0" xfId="0" quotePrefix="1" applyAlignment="1">
      <alignment wrapText="1"/>
    </xf>
    <xf numFmtId="0" fontId="1" fillId="0" borderId="0" xfId="0" applyFont="1" applyAlignment="1">
      <alignment wrapText="1"/>
    </xf>
    <xf numFmtId="49" fontId="0" fillId="0" borderId="1" xfId="0" applyNumberFormat="1" applyBorder="1" applyAlignment="1">
      <alignment horizontal="left" wrapText="1"/>
    </xf>
    <xf numFmtId="0" fontId="0" fillId="0" borderId="0" xfId="0" applyAlignment="1">
      <alignment vertical="center" wrapText="1"/>
    </xf>
    <xf numFmtId="0" fontId="1" fillId="0" borderId="1" xfId="2" applyFont="1" applyFill="1" applyBorder="1" applyAlignment="1" applyProtection="1">
      <alignment horizontal="center"/>
    </xf>
    <xf numFmtId="0" fontId="8" fillId="0" borderId="1" xfId="0" applyFont="1" applyBorder="1" applyAlignment="1">
      <alignment horizontal="center"/>
    </xf>
    <xf numFmtId="0" fontId="1" fillId="0" borderId="1" xfId="0" applyFont="1" applyBorder="1" applyAlignment="1">
      <alignment horizontal="center" wrapText="1"/>
    </xf>
    <xf numFmtId="0" fontId="1" fillId="0" borderId="1" xfId="0" applyFont="1" applyBorder="1" applyAlignment="1">
      <alignment horizontal="right"/>
    </xf>
    <xf numFmtId="1" fontId="0" fillId="0" borderId="1" xfId="0" applyNumberFormat="1" applyBorder="1" applyAlignment="1">
      <alignment horizontal="center"/>
    </xf>
    <xf numFmtId="0" fontId="6" fillId="0" borderId="2" xfId="0" applyFont="1" applyBorder="1" applyAlignment="1">
      <alignment horizontal="left"/>
    </xf>
    <xf numFmtId="0" fontId="8" fillId="0" borderId="2" xfId="0" applyFont="1" applyBorder="1" applyAlignment="1">
      <alignment horizontal="center"/>
    </xf>
    <xf numFmtId="0" fontId="0" fillId="0" borderId="5" xfId="0" applyBorder="1" applyAlignment="1">
      <alignment horizontal="left"/>
    </xf>
    <xf numFmtId="164" fontId="0" fillId="0" borderId="1" xfId="0" applyNumberFormat="1" applyBorder="1" applyAlignment="1">
      <alignment horizontal="center"/>
    </xf>
    <xf numFmtId="0" fontId="6" fillId="0" borderId="4" xfId="2" applyFont="1" applyFill="1" applyBorder="1" applyAlignment="1" applyProtection="1">
      <alignment horizontal="center"/>
    </xf>
    <xf numFmtId="0" fontId="16" fillId="0" borderId="14" xfId="2" applyFont="1" applyFill="1" applyBorder="1" applyAlignment="1" applyProtection="1">
      <alignment horizontal="left"/>
    </xf>
    <xf numFmtId="164" fontId="14" fillId="0" borderId="2" xfId="0" applyNumberFormat="1" applyFont="1" applyBorder="1" applyAlignment="1">
      <alignment horizontal="center"/>
    </xf>
    <xf numFmtId="1" fontId="14" fillId="0" borderId="2" xfId="0" applyNumberFormat="1" applyFont="1" applyBorder="1" applyAlignment="1">
      <alignment horizontal="center"/>
    </xf>
    <xf numFmtId="164" fontId="14" fillId="0" borderId="1" xfId="0" applyNumberFormat="1" applyFont="1" applyBorder="1" applyAlignment="1">
      <alignment horizontal="center"/>
    </xf>
    <xf numFmtId="1" fontId="14" fillId="0" borderId="1" xfId="0" applyNumberFormat="1" applyFont="1" applyBorder="1" applyAlignment="1">
      <alignment horizontal="center"/>
    </xf>
    <xf numFmtId="1" fontId="1" fillId="0" borderId="1" xfId="2" applyNumberFormat="1" applyFont="1" applyFill="1" applyBorder="1" applyAlignment="1" applyProtection="1">
      <alignment horizontal="center"/>
    </xf>
    <xf numFmtId="1" fontId="0" fillId="0" borderId="2" xfId="0" applyNumberFormat="1" applyBorder="1" applyAlignment="1">
      <alignment horizontal="center"/>
    </xf>
    <xf numFmtId="9" fontId="0" fillId="0" borderId="1" xfId="1" applyFont="1" applyFill="1" applyBorder="1" applyAlignment="1" applyProtection="1">
      <alignment horizontal="center"/>
    </xf>
    <xf numFmtId="0" fontId="1" fillId="0" borderId="19" xfId="0" applyFont="1" applyBorder="1"/>
    <xf numFmtId="0" fontId="1" fillId="0" borderId="24" xfId="0" applyFont="1" applyBorder="1"/>
    <xf numFmtId="0" fontId="0" fillId="0" borderId="28" xfId="0" applyBorder="1"/>
    <xf numFmtId="0" fontId="12" fillId="0" borderId="29" xfId="2" applyFont="1" applyFill="1" applyBorder="1" applyAlignment="1" applyProtection="1">
      <alignment horizontal="center"/>
    </xf>
    <xf numFmtId="0" fontId="8" fillId="0" borderId="4" xfId="2" applyFont="1" applyFill="1" applyBorder="1" applyAlignment="1" applyProtection="1">
      <alignment horizontal="left"/>
    </xf>
    <xf numFmtId="0" fontId="8" fillId="0" borderId="2" xfId="2" applyFont="1" applyFill="1" applyBorder="1" applyAlignment="1" applyProtection="1">
      <alignment horizontal="left"/>
    </xf>
    <xf numFmtId="0" fontId="22" fillId="0" borderId="4" xfId="2" applyFont="1" applyFill="1" applyBorder="1" applyAlignment="1" applyProtection="1">
      <alignment horizontal="left" vertical="top" wrapText="1"/>
    </xf>
    <xf numFmtId="0" fontId="22" fillId="0" borderId="2" xfId="2" applyFont="1" applyFill="1" applyBorder="1" applyAlignment="1" applyProtection="1">
      <alignment horizontal="left" vertical="top" wrapText="1"/>
    </xf>
    <xf numFmtId="164" fontId="8" fillId="0" borderId="1" xfId="2" applyNumberFormat="1" applyFont="1" applyFill="1" applyBorder="1" applyAlignment="1" applyProtection="1">
      <alignment horizontal="center"/>
    </xf>
    <xf numFmtId="9" fontId="8" fillId="0" borderId="1" xfId="1" applyFont="1" applyFill="1" applyBorder="1" applyAlignment="1" applyProtection="1">
      <alignment horizontal="center"/>
    </xf>
    <xf numFmtId="1" fontId="8" fillId="0" borderId="1" xfId="5" applyNumberFormat="1" applyFont="1" applyFill="1" applyBorder="1" applyAlignment="1" applyProtection="1">
      <alignment horizontal="center"/>
    </xf>
    <xf numFmtId="0" fontId="26" fillId="0" borderId="32" xfId="4" applyBorder="1" applyAlignment="1">
      <alignment horizontal="left"/>
    </xf>
    <xf numFmtId="0" fontId="8" fillId="0" borderId="1" xfId="4" applyFont="1" applyBorder="1" applyAlignment="1">
      <alignment horizontal="center" wrapText="1"/>
    </xf>
    <xf numFmtId="0" fontId="25" fillId="0" borderId="5" xfId="4" applyFont="1" applyBorder="1" applyAlignment="1">
      <alignment horizontal="center"/>
    </xf>
    <xf numFmtId="0" fontId="25" fillId="0" borderId="5" xfId="4" applyFont="1" applyBorder="1" applyAlignment="1">
      <alignment horizontal="left"/>
    </xf>
    <xf numFmtId="2" fontId="0" fillId="0" borderId="2" xfId="0" applyNumberFormat="1" applyBorder="1" applyAlignment="1">
      <alignment horizontal="center"/>
    </xf>
    <xf numFmtId="164" fontId="0" fillId="0" borderId="2" xfId="0" applyNumberFormat="1" applyBorder="1" applyAlignment="1">
      <alignment horizontal="center"/>
    </xf>
    <xf numFmtId="0" fontId="33" fillId="0" borderId="1" xfId="0" applyFont="1" applyBorder="1" applyAlignment="1">
      <alignment horizontal="left" wrapText="1"/>
    </xf>
    <xf numFmtId="9" fontId="32" fillId="0" borderId="1" xfId="0" applyNumberFormat="1" applyFont="1" applyBorder="1" applyAlignment="1">
      <alignment horizontal="center"/>
    </xf>
    <xf numFmtId="1" fontId="32" fillId="0" borderId="1" xfId="0" applyNumberFormat="1" applyFont="1" applyBorder="1" applyAlignment="1">
      <alignment horizontal="center"/>
    </xf>
    <xf numFmtId="164" fontId="32" fillId="0" borderId="1" xfId="0" applyNumberFormat="1" applyFont="1" applyBorder="1" applyAlignment="1">
      <alignment horizontal="center"/>
    </xf>
    <xf numFmtId="167" fontId="0" fillId="0" borderId="5" xfId="0" applyNumberFormat="1" applyBorder="1" applyAlignment="1">
      <alignment horizontal="center"/>
    </xf>
    <xf numFmtId="0" fontId="1" fillId="0" borderId="8" xfId="0" applyFont="1" applyBorder="1" applyAlignment="1">
      <alignment horizontal="center"/>
    </xf>
    <xf numFmtId="164" fontId="1" fillId="0" borderId="1" xfId="0" applyNumberFormat="1" applyFont="1" applyBorder="1" applyAlignment="1">
      <alignment horizontal="center" wrapText="1"/>
    </xf>
    <xf numFmtId="1" fontId="0" fillId="0" borderId="8" xfId="0" applyNumberFormat="1" applyBorder="1" applyAlignment="1">
      <alignment horizontal="center"/>
    </xf>
    <xf numFmtId="0" fontId="1" fillId="0" borderId="11" xfId="0" applyFont="1" applyBorder="1" applyAlignment="1">
      <alignment horizontal="right"/>
    </xf>
    <xf numFmtId="9" fontId="0" fillId="0" borderId="12" xfId="0" applyNumberFormat="1" applyBorder="1" applyAlignment="1">
      <alignment horizontal="center"/>
    </xf>
    <xf numFmtId="2" fontId="0" fillId="0" borderId="1" xfId="0" applyNumberFormat="1" applyBorder="1" applyAlignment="1">
      <alignment horizontal="center"/>
    </xf>
    <xf numFmtId="0" fontId="8" fillId="0" borderId="14" xfId="0" applyFont="1" applyBorder="1" applyAlignment="1">
      <alignment horizontal="left"/>
    </xf>
    <xf numFmtId="0" fontId="8" fillId="0" borderId="1" xfId="0" applyFont="1" applyBorder="1" applyAlignment="1">
      <alignment horizontal="left"/>
    </xf>
    <xf numFmtId="2" fontId="26" fillId="0" borderId="5" xfId="0" applyNumberFormat="1" applyFont="1" applyBorder="1" applyAlignment="1">
      <alignment horizontal="center"/>
    </xf>
    <xf numFmtId="9" fontId="26" fillId="0" borderId="5" xfId="0" applyNumberFormat="1" applyFont="1" applyBorder="1" applyAlignment="1">
      <alignment horizontal="center"/>
    </xf>
    <xf numFmtId="0" fontId="26" fillId="0" borderId="5" xfId="0" applyFont="1" applyBorder="1"/>
    <xf numFmtId="0" fontId="25" fillId="0" borderId="22" xfId="0" applyFont="1" applyBorder="1" applyAlignment="1">
      <alignment wrapText="1"/>
    </xf>
    <xf numFmtId="0" fontId="25" fillId="0" borderId="27" xfId="0" applyFont="1" applyBorder="1" applyAlignment="1">
      <alignment wrapText="1"/>
    </xf>
    <xf numFmtId="14" fontId="25" fillId="0" borderId="27" xfId="0" applyNumberFormat="1" applyFont="1" applyBorder="1" applyAlignment="1">
      <alignment wrapText="1"/>
    </xf>
    <xf numFmtId="0" fontId="0" fillId="0" borderId="8" xfId="0" applyBorder="1"/>
    <xf numFmtId="0" fontId="0" fillId="0" borderId="1" xfId="0" applyBorder="1"/>
    <xf numFmtId="2" fontId="0" fillId="0" borderId="8" xfId="0" applyNumberFormat="1" applyBorder="1"/>
    <xf numFmtId="2" fontId="0" fillId="0" borderId="1" xfId="0" applyNumberFormat="1" applyBorder="1"/>
    <xf numFmtId="0" fontId="0" fillId="0" borderId="6" xfId="0" applyBorder="1"/>
    <xf numFmtId="2" fontId="0" fillId="0" borderId="6" xfId="0" applyNumberFormat="1" applyBorder="1"/>
    <xf numFmtId="0" fontId="1" fillId="0" borderId="23" xfId="0" applyFont="1" applyBorder="1"/>
    <xf numFmtId="2" fontId="1" fillId="0" borderId="24" xfId="0" applyNumberFormat="1" applyFont="1" applyBorder="1"/>
    <xf numFmtId="164" fontId="1" fillId="0" borderId="1" xfId="0" applyNumberFormat="1" applyFont="1" applyBorder="1" applyAlignment="1">
      <alignment horizontal="center"/>
    </xf>
    <xf numFmtId="0" fontId="32" fillId="0" borderId="1" xfId="0" applyFont="1" applyBorder="1" applyAlignment="1">
      <alignment horizontal="left"/>
    </xf>
    <xf numFmtId="9" fontId="32" fillId="0" borderId="9" xfId="1" applyFont="1" applyFill="1" applyBorder="1" applyAlignment="1" applyProtection="1">
      <alignment horizontal="center"/>
    </xf>
    <xf numFmtId="164" fontId="32" fillId="0" borderId="33" xfId="0" applyNumberFormat="1" applyFont="1" applyBorder="1" applyAlignment="1">
      <alignment horizontal="center"/>
    </xf>
    <xf numFmtId="1" fontId="16" fillId="0" borderId="1" xfId="0" applyNumberFormat="1" applyFont="1" applyBorder="1" applyAlignment="1">
      <alignment horizontal="center"/>
    </xf>
    <xf numFmtId="169" fontId="16" fillId="0" borderId="1" xfId="0" applyNumberFormat="1" applyFont="1" applyBorder="1" applyAlignment="1">
      <alignment horizontal="center"/>
    </xf>
    <xf numFmtId="2" fontId="16" fillId="0" borderId="1" xfId="0" applyNumberFormat="1" applyFont="1" applyBorder="1" applyAlignment="1">
      <alignment horizontal="center"/>
    </xf>
    <xf numFmtId="9" fontId="16" fillId="0" borderId="1" xfId="1" applyFont="1" applyFill="1" applyBorder="1" applyAlignment="1" applyProtection="1">
      <alignment horizontal="center"/>
    </xf>
    <xf numFmtId="0" fontId="53" fillId="0" borderId="1" xfId="2" applyFont="1" applyFill="1" applyBorder="1" applyAlignment="1" applyProtection="1">
      <alignment horizontal="center" wrapText="1"/>
    </xf>
    <xf numFmtId="0" fontId="15" fillId="0" borderId="0" xfId="0" applyFont="1"/>
    <xf numFmtId="49" fontId="0" fillId="0" borderId="0" xfId="0" applyNumberFormat="1"/>
    <xf numFmtId="0" fontId="8" fillId="0" borderId="0" xfId="0" applyFont="1" applyAlignment="1">
      <alignment horizontal="left"/>
    </xf>
    <xf numFmtId="0" fontId="47" fillId="0" borderId="0" xfId="0" applyFont="1"/>
    <xf numFmtId="0" fontId="15" fillId="0" borderId="0" xfId="0" applyFont="1" applyAlignment="1">
      <alignment horizontal="left"/>
    </xf>
    <xf numFmtId="14" fontId="8" fillId="0" borderId="0" xfId="0" applyNumberFormat="1" applyFont="1" applyAlignment="1">
      <alignment horizontal="left"/>
    </xf>
    <xf numFmtId="0" fontId="32" fillId="0" borderId="0" xfId="0" applyFont="1" applyAlignment="1">
      <alignment horizontal="left"/>
    </xf>
    <xf numFmtId="0" fontId="0" fillId="0" borderId="0" xfId="0" applyAlignment="1">
      <alignment horizontal="left"/>
    </xf>
    <xf numFmtId="0" fontId="32" fillId="0" borderId="0" xfId="0" applyFont="1" applyAlignment="1">
      <alignment horizontal="left" vertical="top"/>
    </xf>
    <xf numFmtId="0" fontId="22" fillId="0" borderId="0" xfId="0" applyFont="1" applyAlignment="1">
      <alignment horizontal="left" vertical="top" wrapText="1"/>
    </xf>
    <xf numFmtId="0" fontId="10" fillId="0" borderId="0" xfId="0" applyFont="1" applyAlignment="1">
      <alignment horizontal="left" vertical="center"/>
    </xf>
    <xf numFmtId="0" fontId="16" fillId="0" borderId="0" xfId="0" applyFont="1" applyAlignment="1">
      <alignment horizontal="left"/>
    </xf>
    <xf numFmtId="0" fontId="24" fillId="0" borderId="0" xfId="0" applyFont="1" applyAlignment="1">
      <alignment horizontal="left"/>
    </xf>
    <xf numFmtId="14" fontId="8" fillId="0" borderId="0" xfId="0" applyNumberFormat="1" applyFont="1" applyAlignment="1" applyProtection="1">
      <alignment horizontal="left"/>
      <protection locked="0"/>
    </xf>
    <xf numFmtId="0" fontId="48" fillId="0" borderId="0" xfId="0" applyFont="1" applyAlignment="1">
      <alignment horizontal="left"/>
    </xf>
    <xf numFmtId="9" fontId="8" fillId="0" borderId="0" xfId="0" applyNumberFormat="1" applyFont="1" applyAlignment="1">
      <alignment horizontal="center"/>
    </xf>
    <xf numFmtId="0" fontId="12" fillId="0" borderId="0" xfId="0" applyFont="1" applyAlignment="1">
      <alignment horizontal="left"/>
    </xf>
    <xf numFmtId="0" fontId="9" fillId="0" borderId="0" xfId="0" applyFont="1" applyAlignment="1">
      <alignment horizontal="left"/>
    </xf>
    <xf numFmtId="0" fontId="0" fillId="0" borderId="0" xfId="0" applyAlignment="1">
      <alignment horizontal="left" wrapText="1"/>
    </xf>
    <xf numFmtId="0" fontId="13" fillId="0" borderId="0" xfId="0" applyFont="1" applyAlignment="1">
      <alignment horizontal="left" wrapText="1"/>
    </xf>
    <xf numFmtId="0" fontId="1" fillId="0" borderId="0" xfId="0" applyFont="1" applyAlignment="1">
      <alignment horizontal="center"/>
    </xf>
    <xf numFmtId="0" fontId="0" fillId="0" borderId="0" xfId="0" applyAlignment="1">
      <alignment horizontal="center"/>
    </xf>
    <xf numFmtId="166" fontId="0" fillId="0" borderId="0" xfId="0" applyNumberFormat="1" applyAlignment="1">
      <alignment horizontal="center"/>
    </xf>
    <xf numFmtId="0" fontId="7" fillId="0" borderId="0" xfId="0" applyFont="1" applyAlignment="1">
      <alignment horizontal="left"/>
    </xf>
    <xf numFmtId="9" fontId="1" fillId="0" borderId="0" xfId="0" applyNumberFormat="1" applyFont="1" applyAlignment="1">
      <alignment horizontal="center"/>
    </xf>
    <xf numFmtId="0" fontId="17" fillId="0" borderId="0" xfId="0" applyFont="1" applyAlignment="1">
      <alignment horizontal="left"/>
    </xf>
    <xf numFmtId="0" fontId="30" fillId="0" borderId="0" xfId="0" applyFont="1" applyAlignment="1" applyProtection="1">
      <alignment horizontal="left"/>
      <protection locked="0"/>
    </xf>
    <xf numFmtId="0" fontId="2" fillId="0" borderId="0" xfId="0" applyFont="1" applyAlignment="1">
      <alignment horizontal="left"/>
    </xf>
    <xf numFmtId="9" fontId="0" fillId="0" borderId="0" xfId="0" applyNumberFormat="1" applyAlignment="1">
      <alignment horizontal="center"/>
    </xf>
    <xf numFmtId="9" fontId="13" fillId="0" borderId="0" xfId="0" applyNumberFormat="1" applyFont="1" applyAlignment="1">
      <alignment horizontal="left"/>
    </xf>
    <xf numFmtId="0" fontId="11" fillId="0" borderId="0" xfId="0" applyFont="1" applyAlignment="1">
      <alignment horizontal="left"/>
    </xf>
    <xf numFmtId="0" fontId="18" fillId="0" borderId="0" xfId="0" applyFont="1" applyAlignment="1">
      <alignment horizontal="left"/>
    </xf>
    <xf numFmtId="0" fontId="33" fillId="0" borderId="0" xfId="0" applyFont="1" applyAlignment="1">
      <alignment horizontal="left"/>
    </xf>
    <xf numFmtId="9" fontId="32" fillId="0" borderId="0" xfId="0" applyNumberFormat="1" applyFont="1" applyAlignment="1">
      <alignment horizontal="left"/>
    </xf>
    <xf numFmtId="0" fontId="49" fillId="0" borderId="0" xfId="0" applyFont="1" applyAlignment="1">
      <alignment horizontal="left"/>
    </xf>
    <xf numFmtId="0" fontId="5" fillId="0" borderId="0" xfId="0" applyFont="1" applyAlignment="1">
      <alignment horizontal="left"/>
    </xf>
    <xf numFmtId="9" fontId="32" fillId="0" borderId="0" xfId="0" applyNumberFormat="1" applyFont="1" applyAlignment="1">
      <alignment horizontal="center"/>
    </xf>
    <xf numFmtId="0" fontId="30" fillId="0" borderId="0" xfId="0" applyFont="1" applyAlignment="1">
      <alignment horizontal="left"/>
    </xf>
    <xf numFmtId="1" fontId="50" fillId="0" borderId="0" xfId="0" applyNumberFormat="1" applyFont="1" applyAlignment="1">
      <alignment horizontal="left"/>
    </xf>
    <xf numFmtId="164" fontId="32" fillId="0" borderId="0" xfId="0" applyNumberFormat="1" applyFont="1" applyAlignment="1">
      <alignment horizontal="center"/>
    </xf>
    <xf numFmtId="164" fontId="51" fillId="0" borderId="0" xfId="0" applyNumberFormat="1" applyFont="1" applyAlignment="1">
      <alignment horizontal="center"/>
    </xf>
    <xf numFmtId="1" fontId="32" fillId="0" borderId="0" xfId="0" applyNumberFormat="1" applyFont="1" applyAlignment="1">
      <alignment horizontal="center"/>
    </xf>
    <xf numFmtId="164" fontId="32" fillId="0" borderId="0" xfId="0" applyNumberFormat="1" applyFont="1" applyAlignment="1">
      <alignment horizontal="left"/>
    </xf>
    <xf numFmtId="0" fontId="50" fillId="0" borderId="0" xfId="0" applyFont="1" applyAlignment="1">
      <alignment horizontal="left"/>
    </xf>
    <xf numFmtId="164" fontId="33" fillId="0" borderId="0" xfId="0" applyNumberFormat="1" applyFont="1" applyAlignment="1">
      <alignment horizontal="left"/>
    </xf>
    <xf numFmtId="0" fontId="51" fillId="0" borderId="0" xfId="0" applyFont="1" applyAlignment="1">
      <alignment horizontal="center"/>
    </xf>
    <xf numFmtId="0" fontId="52" fillId="0" borderId="0" xfId="0" applyFont="1" applyAlignment="1">
      <alignment horizontal="left"/>
    </xf>
    <xf numFmtId="3" fontId="0" fillId="0" borderId="0" xfId="0" applyNumberFormat="1" applyAlignment="1">
      <alignment horizontal="center"/>
    </xf>
    <xf numFmtId="167" fontId="0" fillId="0" borderId="0" xfId="0" applyNumberFormat="1" applyAlignment="1">
      <alignment horizontal="center"/>
    </xf>
    <xf numFmtId="9" fontId="0" fillId="0" borderId="0" xfId="0" applyNumberFormat="1" applyAlignment="1">
      <alignment horizontal="left"/>
    </xf>
    <xf numFmtId="0" fontId="20" fillId="0" borderId="0" xfId="0" applyFont="1" applyAlignment="1">
      <alignment horizontal="left"/>
    </xf>
    <xf numFmtId="164" fontId="24" fillId="0" borderId="0" xfId="0" applyNumberFormat="1" applyFont="1" applyAlignment="1">
      <alignment horizontal="left"/>
    </xf>
    <xf numFmtId="0" fontId="10" fillId="0" borderId="0" xfId="0" applyFont="1" applyAlignment="1">
      <alignment horizontal="center"/>
    </xf>
    <xf numFmtId="164" fontId="1" fillId="0" borderId="0" xfId="0" applyNumberFormat="1" applyFont="1" applyAlignment="1">
      <alignment horizontal="center"/>
    </xf>
    <xf numFmtId="0" fontId="23" fillId="0" borderId="0" xfId="0" applyFont="1" applyAlignment="1">
      <alignment horizontal="left"/>
    </xf>
    <xf numFmtId="0" fontId="16" fillId="0" borderId="0" xfId="0" applyFont="1" applyAlignment="1">
      <alignment horizontal="center"/>
    </xf>
    <xf numFmtId="164" fontId="0" fillId="0" borderId="0" xfId="0" applyNumberFormat="1" applyAlignment="1">
      <alignment horizontal="center"/>
    </xf>
    <xf numFmtId="0" fontId="8" fillId="0" borderId="0" xfId="0" applyFont="1" applyAlignment="1">
      <alignment horizontal="center"/>
    </xf>
    <xf numFmtId="0" fontId="28" fillId="0" borderId="0" xfId="0" applyFont="1" applyAlignment="1">
      <alignment horizontal="left" vertical="top"/>
    </xf>
    <xf numFmtId="0" fontId="19" fillId="0" borderId="0" xfId="0" applyFont="1" applyAlignment="1">
      <alignment horizontal="left"/>
    </xf>
    <xf numFmtId="0" fontId="1" fillId="0" borderId="0" xfId="0" applyFont="1"/>
    <xf numFmtId="1" fontId="0" fillId="0" borderId="0" xfId="0" applyNumberFormat="1"/>
    <xf numFmtId="14" fontId="0" fillId="0" borderId="0" xfId="0" applyNumberFormat="1"/>
    <xf numFmtId="9" fontId="0" fillId="0" borderId="0" xfId="0" applyNumberFormat="1"/>
    <xf numFmtId="2" fontId="0" fillId="0" borderId="0" xfId="0" applyNumberFormat="1"/>
    <xf numFmtId="3" fontId="0" fillId="0" borderId="0" xfId="0" applyNumberFormat="1"/>
    <xf numFmtId="0" fontId="26" fillId="0" borderId="0" xfId="0" applyFont="1"/>
    <xf numFmtId="0" fontId="32" fillId="0" borderId="0" xfId="0" applyFont="1"/>
    <xf numFmtId="164" fontId="32" fillId="0" borderId="0" xfId="0" applyNumberFormat="1" applyFont="1"/>
    <xf numFmtId="0" fontId="45" fillId="0" borderId="0" xfId="0" applyFont="1"/>
    <xf numFmtId="0" fontId="31" fillId="0" borderId="0" xfId="0" applyFont="1"/>
    <xf numFmtId="164" fontId="31" fillId="0" borderId="0" xfId="0" applyNumberFormat="1" applyFont="1"/>
    <xf numFmtId="0" fontId="33" fillId="0" borderId="0" xfId="0" applyFont="1"/>
    <xf numFmtId="0" fontId="25" fillId="0" borderId="0" xfId="0" applyFont="1" applyAlignment="1">
      <alignment wrapText="1"/>
    </xf>
    <xf numFmtId="9" fontId="26" fillId="0" borderId="0" xfId="0" applyNumberFormat="1" applyFont="1"/>
    <xf numFmtId="2" fontId="26" fillId="0" borderId="0" xfId="0" applyNumberFormat="1" applyFont="1" applyAlignment="1">
      <alignment horizontal="center"/>
    </xf>
    <xf numFmtId="9" fontId="26" fillId="0" borderId="0" xfId="0" applyNumberFormat="1" applyFont="1" applyAlignment="1">
      <alignment horizontal="center"/>
    </xf>
    <xf numFmtId="2" fontId="26" fillId="0" borderId="0" xfId="0" applyNumberFormat="1" applyFont="1"/>
    <xf numFmtId="0" fontId="46" fillId="0" borderId="0" xfId="0" applyFont="1"/>
    <xf numFmtId="0" fontId="32" fillId="0" borderId="0" xfId="0" applyFont="1" applyAlignment="1">
      <alignment horizontal="center" vertical="center" wrapText="1"/>
    </xf>
    <xf numFmtId="1" fontId="26" fillId="0" borderId="0" xfId="0" applyNumberFormat="1" applyFont="1" applyAlignment="1">
      <alignment horizontal="center" vertical="center"/>
    </xf>
    <xf numFmtId="164" fontId="26" fillId="0" borderId="0" xfId="0" applyNumberFormat="1" applyFont="1" applyAlignment="1">
      <alignment horizontal="center" vertical="center"/>
    </xf>
    <xf numFmtId="168" fontId="25" fillId="0" borderId="0" xfId="0" applyNumberFormat="1" applyFont="1" applyAlignment="1">
      <alignment horizontal="center" vertical="center"/>
    </xf>
    <xf numFmtId="0" fontId="29" fillId="0" borderId="0" xfId="0" applyFont="1" applyAlignment="1">
      <alignment horizontal="left" vertical="top" wrapText="1"/>
    </xf>
    <xf numFmtId="0" fontId="45" fillId="0" borderId="0" xfId="0" applyFont="1" applyAlignment="1">
      <alignment horizontal="right"/>
    </xf>
    <xf numFmtId="0" fontId="45" fillId="0" borderId="0" xfId="0" applyFont="1" applyAlignment="1">
      <alignment horizontal="center"/>
    </xf>
    <xf numFmtId="0" fontId="25" fillId="0" borderId="0" xfId="0" applyFont="1" applyAlignment="1">
      <alignment horizontal="center"/>
    </xf>
    <xf numFmtId="0" fontId="26" fillId="0" borderId="0" xfId="0" applyFont="1" applyAlignment="1">
      <alignment horizontal="center"/>
    </xf>
    <xf numFmtId="164" fontId="33" fillId="0" borderId="0" xfId="0" applyNumberFormat="1" applyFont="1"/>
    <xf numFmtId="9" fontId="33" fillId="0" borderId="0" xfId="0" applyNumberFormat="1" applyFont="1"/>
    <xf numFmtId="0" fontId="25" fillId="0" borderId="0" xfId="0" applyFont="1"/>
    <xf numFmtId="10" fontId="0" fillId="0" borderId="0" xfId="0" applyNumberFormat="1"/>
    <xf numFmtId="0" fontId="54" fillId="0" borderId="35" xfId="0" applyFont="1" applyBorder="1" applyAlignment="1">
      <alignment horizontal="left" vertical="center"/>
    </xf>
    <xf numFmtId="0" fontId="0" fillId="0" borderId="4" xfId="0" applyBorder="1"/>
    <xf numFmtId="0" fontId="0" fillId="0" borderId="2" xfId="0" applyBorder="1"/>
    <xf numFmtId="0" fontId="18" fillId="0" borderId="0" xfId="7"/>
    <xf numFmtId="0" fontId="12" fillId="0" borderId="30" xfId="2" applyFont="1" applyFill="1" applyBorder="1" applyAlignment="1" applyProtection="1">
      <alignment horizontal="center"/>
      <protection locked="0"/>
    </xf>
    <xf numFmtId="168" fontId="0" fillId="0" borderId="1" xfId="1" applyNumberFormat="1" applyFont="1" applyFill="1" applyBorder="1" applyAlignment="1" applyProtection="1">
      <alignment horizontal="center"/>
    </xf>
    <xf numFmtId="49" fontId="0" fillId="10" borderId="1" xfId="0" applyNumberFormat="1" applyFill="1" applyBorder="1" applyAlignment="1">
      <alignment horizontal="left" wrapText="1"/>
    </xf>
    <xf numFmtId="49" fontId="0" fillId="2" borderId="1" xfId="0" applyNumberFormat="1" applyFill="1" applyBorder="1" applyAlignment="1">
      <alignment horizontal="left" wrapText="1"/>
    </xf>
    <xf numFmtId="164" fontId="0" fillId="20" borderId="0" xfId="0" quotePrefix="1" applyNumberFormat="1" applyFill="1" applyAlignment="1">
      <alignment horizontal="left" wrapText="1"/>
    </xf>
    <xf numFmtId="1" fontId="32" fillId="22" borderId="1" xfId="0" quotePrefix="1" applyNumberFormat="1" applyFont="1" applyFill="1" applyBorder="1" applyAlignment="1" applyProtection="1">
      <alignment horizontal="left" wrapText="1"/>
      <protection locked="0"/>
    </xf>
    <xf numFmtId="49" fontId="0" fillId="14" borderId="1" xfId="0" applyNumberFormat="1" applyFill="1" applyBorder="1" applyAlignment="1">
      <alignment horizontal="left" wrapText="1"/>
    </xf>
    <xf numFmtId="49" fontId="8" fillId="10" borderId="1" xfId="0" applyNumberFormat="1" applyFont="1" applyFill="1" applyBorder="1" applyAlignment="1" applyProtection="1">
      <alignment horizontal="left"/>
      <protection locked="0"/>
    </xf>
    <xf numFmtId="14" fontId="8" fillId="10" borderId="1" xfId="0" applyNumberFormat="1" applyFont="1" applyFill="1" applyBorder="1" applyAlignment="1" applyProtection="1">
      <alignment horizontal="left"/>
      <protection locked="0"/>
    </xf>
    <xf numFmtId="0" fontId="6" fillId="10" borderId="1" xfId="0" applyFont="1" applyFill="1" applyBorder="1" applyAlignment="1" applyProtection="1">
      <alignment horizontal="center"/>
      <protection locked="0"/>
    </xf>
    <xf numFmtId="165" fontId="6" fillId="10" borderId="3" xfId="0" applyNumberFormat="1" applyFont="1" applyFill="1" applyBorder="1" applyAlignment="1" applyProtection="1">
      <alignment horizontal="center"/>
      <protection locked="0"/>
    </xf>
    <xf numFmtId="1" fontId="8" fillId="10" borderId="3" xfId="0" applyNumberFormat="1" applyFont="1" applyFill="1" applyBorder="1" applyAlignment="1" applyProtection="1">
      <alignment horizontal="center"/>
      <protection locked="0"/>
    </xf>
    <xf numFmtId="14" fontId="6" fillId="14" borderId="0" xfId="0" applyNumberFormat="1" applyFont="1" applyFill="1" applyAlignment="1" applyProtection="1">
      <alignment horizontal="center" shrinkToFit="1"/>
      <protection locked="0"/>
    </xf>
    <xf numFmtId="0" fontId="0" fillId="7" borderId="0" xfId="0" applyFill="1" applyAlignment="1">
      <alignment horizontal="left"/>
    </xf>
    <xf numFmtId="0" fontId="0" fillId="5" borderId="0" xfId="0" applyFill="1" applyAlignment="1">
      <alignment horizontal="left"/>
    </xf>
    <xf numFmtId="0" fontId="0" fillId="11" borderId="0" xfId="0" applyFill="1" applyAlignment="1">
      <alignment horizontal="left"/>
    </xf>
    <xf numFmtId="0" fontId="0" fillId="8" borderId="0" xfId="0" applyFill="1" applyAlignment="1">
      <alignment horizontal="left"/>
    </xf>
    <xf numFmtId="0" fontId="0" fillId="6" borderId="0" xfId="0" applyFill="1" applyAlignment="1">
      <alignment horizontal="left"/>
    </xf>
    <xf numFmtId="49" fontId="1" fillId="10" borderId="1" xfId="0" applyNumberFormat="1" applyFont="1" applyFill="1" applyBorder="1" applyAlignment="1" applyProtection="1">
      <alignment horizontal="center"/>
      <protection locked="0"/>
    </xf>
    <xf numFmtId="1" fontId="0" fillId="2" borderId="1" xfId="0" applyNumberFormat="1" applyFill="1" applyBorder="1" applyAlignment="1" applyProtection="1">
      <alignment horizontal="center"/>
      <protection locked="0"/>
    </xf>
    <xf numFmtId="164" fontId="0" fillId="10" borderId="1" xfId="0" applyNumberFormat="1" applyFill="1" applyBorder="1" applyAlignment="1" applyProtection="1">
      <alignment horizontal="center"/>
      <protection locked="0"/>
    </xf>
    <xf numFmtId="9" fontId="0" fillId="10" borderId="1" xfId="0" applyNumberFormat="1" applyFill="1" applyBorder="1" applyAlignment="1" applyProtection="1">
      <alignment horizontal="center"/>
      <protection locked="0"/>
    </xf>
    <xf numFmtId="2" fontId="0" fillId="10" borderId="1" xfId="0" applyNumberFormat="1" applyFill="1" applyBorder="1" applyAlignment="1" applyProtection="1">
      <alignment horizontal="center"/>
      <protection locked="0"/>
    </xf>
    <xf numFmtId="0" fontId="0" fillId="10" borderId="1" xfId="0" applyFill="1" applyBorder="1" applyAlignment="1">
      <alignment horizontal="left"/>
    </xf>
    <xf numFmtId="0" fontId="0" fillId="2" borderId="1" xfId="0" applyFill="1" applyBorder="1" applyAlignment="1">
      <alignment horizontal="left"/>
    </xf>
    <xf numFmtId="9" fontId="0" fillId="2" borderId="1" xfId="0" applyNumberFormat="1" applyFill="1" applyBorder="1" applyAlignment="1" applyProtection="1">
      <alignment horizontal="center"/>
      <protection locked="0"/>
    </xf>
    <xf numFmtId="0" fontId="13" fillId="12" borderId="0" xfId="0" applyFont="1" applyFill="1" applyAlignment="1">
      <alignment horizontal="left"/>
    </xf>
    <xf numFmtId="1" fontId="0" fillId="10" borderId="1" xfId="0" applyNumberFormat="1" applyFill="1" applyBorder="1" applyAlignment="1" applyProtection="1">
      <alignment horizontal="center"/>
      <protection locked="0"/>
    </xf>
    <xf numFmtId="3" fontId="0" fillId="10" borderId="1" xfId="0" applyNumberFormat="1" applyFill="1" applyBorder="1" applyAlignment="1" applyProtection="1">
      <alignment horizontal="center"/>
      <protection locked="0"/>
    </xf>
    <xf numFmtId="169" fontId="0" fillId="10" borderId="1" xfId="0" applyNumberFormat="1" applyFill="1" applyBorder="1" applyAlignment="1" applyProtection="1">
      <alignment horizontal="center"/>
      <protection locked="0"/>
    </xf>
    <xf numFmtId="168" fontId="0" fillId="10" borderId="1" xfId="0" applyNumberFormat="1" applyFill="1" applyBorder="1" applyAlignment="1" applyProtection="1">
      <alignment horizontal="center"/>
      <protection locked="0"/>
    </xf>
    <xf numFmtId="1" fontId="0" fillId="2" borderId="2" xfId="0" applyNumberFormat="1" applyFill="1" applyBorder="1" applyAlignment="1" applyProtection="1">
      <alignment horizontal="center"/>
      <protection locked="0"/>
    </xf>
    <xf numFmtId="164" fontId="0" fillId="2" borderId="2" xfId="0" applyNumberFormat="1" applyFill="1" applyBorder="1" applyAlignment="1" applyProtection="1">
      <alignment horizontal="center"/>
      <protection locked="0"/>
    </xf>
    <xf numFmtId="1" fontId="1" fillId="2" borderId="2" xfId="0" applyNumberFormat="1" applyFont="1" applyFill="1" applyBorder="1" applyAlignment="1" applyProtection="1">
      <alignment horizontal="center"/>
      <protection locked="0"/>
    </xf>
    <xf numFmtId="1" fontId="1" fillId="10" borderId="2" xfId="0" applyNumberFormat="1" applyFont="1" applyFill="1" applyBorder="1" applyAlignment="1" applyProtection="1">
      <alignment horizontal="center"/>
      <protection locked="0"/>
    </xf>
    <xf numFmtId="0" fontId="1" fillId="4" borderId="2" xfId="0" applyFont="1" applyFill="1" applyBorder="1" applyAlignment="1" applyProtection="1">
      <alignment horizontal="center"/>
      <protection locked="0"/>
    </xf>
    <xf numFmtId="0" fontId="1" fillId="2" borderId="1" xfId="0" applyFont="1" applyFill="1" applyBorder="1" applyAlignment="1" applyProtection="1">
      <alignment horizontal="center"/>
      <protection locked="0"/>
    </xf>
    <xf numFmtId="1" fontId="1" fillId="2" borderId="1" xfId="0" applyNumberFormat="1" applyFont="1" applyFill="1" applyBorder="1" applyAlignment="1" applyProtection="1">
      <alignment horizontal="center"/>
      <protection locked="0"/>
    </xf>
    <xf numFmtId="49" fontId="0" fillId="10" borderId="2" xfId="0" applyNumberFormat="1" applyFill="1" applyBorder="1" applyAlignment="1" applyProtection="1">
      <alignment horizontal="center"/>
      <protection locked="0"/>
    </xf>
    <xf numFmtId="49" fontId="0" fillId="10" borderId="1" xfId="0" applyNumberFormat="1" applyFill="1" applyBorder="1" applyAlignment="1" applyProtection="1">
      <alignment horizontal="center"/>
      <protection locked="0"/>
    </xf>
    <xf numFmtId="164" fontId="0" fillId="2" borderId="1" xfId="0" applyNumberFormat="1" applyFill="1" applyBorder="1" applyAlignment="1" applyProtection="1">
      <alignment horizontal="center"/>
      <protection locked="0"/>
    </xf>
    <xf numFmtId="9" fontId="0" fillId="21" borderId="1" xfId="0" applyNumberFormat="1" applyFill="1" applyBorder="1" applyAlignment="1">
      <alignment horizontal="center"/>
    </xf>
    <xf numFmtId="1" fontId="0" fillId="20" borderId="0" xfId="0" applyNumberFormat="1" applyFill="1" applyAlignment="1">
      <alignment horizontal="center"/>
    </xf>
    <xf numFmtId="9" fontId="0" fillId="20" borderId="0" xfId="0" applyNumberFormat="1" applyFill="1" applyAlignment="1">
      <alignment horizontal="center"/>
    </xf>
    <xf numFmtId="164" fontId="0" fillId="20" borderId="0" xfId="0" applyNumberFormat="1" applyFill="1" applyAlignment="1">
      <alignment horizontal="center"/>
    </xf>
    <xf numFmtId="1" fontId="32" fillId="22" borderId="1" xfId="0" applyNumberFormat="1" applyFont="1" applyFill="1" applyBorder="1" applyAlignment="1" applyProtection="1">
      <alignment horizontal="center"/>
      <protection locked="0"/>
    </xf>
    <xf numFmtId="3" fontId="0" fillId="10" borderId="2" xfId="0" applyNumberFormat="1" applyFill="1" applyBorder="1" applyAlignment="1">
      <alignment horizontal="center"/>
    </xf>
    <xf numFmtId="9" fontId="0" fillId="2" borderId="1" xfId="0" applyNumberFormat="1" applyFill="1" applyBorder="1" applyAlignment="1">
      <alignment horizontal="center"/>
    </xf>
    <xf numFmtId="49" fontId="0" fillId="13" borderId="2" xfId="0" applyNumberFormat="1" applyFill="1" applyBorder="1" applyAlignment="1" applyProtection="1">
      <alignment horizontal="center"/>
      <protection locked="0"/>
    </xf>
    <xf numFmtId="49" fontId="0" fillId="13" borderId="1" xfId="0" applyNumberFormat="1" applyFill="1" applyBorder="1" applyAlignment="1" applyProtection="1">
      <alignment horizontal="center"/>
      <protection locked="0"/>
    </xf>
    <xf numFmtId="0" fontId="1" fillId="10" borderId="8" xfId="0" applyFont="1" applyFill="1" applyBorder="1" applyAlignment="1">
      <alignment horizontal="center"/>
    </xf>
    <xf numFmtId="168" fontId="0" fillId="10" borderId="1" xfId="0" applyNumberFormat="1" applyFill="1" applyBorder="1" applyAlignment="1">
      <alignment horizontal="center"/>
    </xf>
    <xf numFmtId="168" fontId="0" fillId="2" borderId="1" xfId="0" applyNumberFormat="1" applyFill="1" applyBorder="1" applyAlignment="1">
      <alignment horizontal="center"/>
    </xf>
    <xf numFmtId="49" fontId="1" fillId="2" borderId="2" xfId="0" applyNumberFormat="1" applyFont="1" applyFill="1" applyBorder="1" applyAlignment="1" applyProtection="1">
      <alignment horizontal="center"/>
      <protection locked="0"/>
    </xf>
    <xf numFmtId="49" fontId="1" fillId="2" borderId="1" xfId="0" applyNumberFormat="1" applyFont="1" applyFill="1" applyBorder="1" applyAlignment="1" applyProtection="1">
      <alignment horizontal="center"/>
      <protection locked="0"/>
    </xf>
    <xf numFmtId="0" fontId="0" fillId="2" borderId="1" xfId="0" applyFill="1" applyBorder="1" applyAlignment="1" applyProtection="1">
      <alignment horizontal="right"/>
      <protection locked="0"/>
    </xf>
    <xf numFmtId="49" fontId="1" fillId="10" borderId="2" xfId="0" applyNumberFormat="1" applyFont="1" applyFill="1" applyBorder="1" applyAlignment="1" applyProtection="1">
      <alignment horizontal="center"/>
      <protection locked="0"/>
    </xf>
    <xf numFmtId="1" fontId="0" fillId="10" borderId="2" xfId="0" applyNumberFormat="1" applyFill="1" applyBorder="1" applyAlignment="1" applyProtection="1">
      <alignment horizontal="center"/>
      <protection locked="0"/>
    </xf>
    <xf numFmtId="49" fontId="0" fillId="2" borderId="1" xfId="0" applyNumberFormat="1" applyFill="1" applyBorder="1" applyAlignment="1" applyProtection="1">
      <alignment horizontal="center"/>
      <protection locked="0"/>
    </xf>
    <xf numFmtId="2" fontId="0" fillId="2" borderId="1" xfId="0" applyNumberFormat="1" applyFill="1" applyBorder="1" applyAlignment="1" applyProtection="1">
      <alignment horizontal="center"/>
      <protection locked="0"/>
    </xf>
    <xf numFmtId="164" fontId="0" fillId="9" borderId="2" xfId="0" applyNumberFormat="1" applyFill="1" applyBorder="1" applyAlignment="1">
      <alignment horizontal="center"/>
    </xf>
    <xf numFmtId="0" fontId="6" fillId="2" borderId="1" xfId="0" applyFont="1" applyFill="1" applyBorder="1" applyAlignment="1" applyProtection="1">
      <alignment horizontal="center"/>
      <protection locked="0"/>
    </xf>
    <xf numFmtId="1" fontId="16" fillId="10" borderId="1" xfId="0" applyNumberFormat="1" applyFont="1" applyFill="1" applyBorder="1" applyAlignment="1" applyProtection="1">
      <alignment horizontal="center"/>
      <protection locked="0"/>
    </xf>
    <xf numFmtId="165" fontId="0" fillId="10" borderId="1" xfId="0" applyNumberFormat="1" applyFill="1" applyBorder="1" applyAlignment="1" applyProtection="1">
      <alignment horizontal="center"/>
      <protection locked="0"/>
    </xf>
    <xf numFmtId="0" fontId="10" fillId="10" borderId="0" xfId="0" applyFont="1" applyFill="1" applyAlignment="1">
      <alignment horizontal="left"/>
    </xf>
    <xf numFmtId="49" fontId="16" fillId="2" borderId="2" xfId="0" applyNumberFormat="1" applyFont="1" applyFill="1" applyBorder="1" applyAlignment="1" applyProtection="1">
      <alignment horizontal="center"/>
      <protection locked="0"/>
    </xf>
    <xf numFmtId="49" fontId="16" fillId="2" borderId="1" xfId="0" applyNumberFormat="1" applyFont="1" applyFill="1" applyBorder="1" applyAlignment="1" applyProtection="1">
      <alignment horizontal="center"/>
      <protection locked="0"/>
    </xf>
    <xf numFmtId="0" fontId="8" fillId="4" borderId="1" xfId="0" applyFont="1" applyFill="1" applyBorder="1" applyAlignment="1" applyProtection="1">
      <alignment horizontal="center"/>
      <protection locked="0"/>
    </xf>
    <xf numFmtId="0" fontId="46" fillId="14" borderId="0" xfId="0" applyFont="1" applyFill="1"/>
    <xf numFmtId="0" fontId="32" fillId="14" borderId="0" xfId="0" applyFont="1" applyFill="1"/>
    <xf numFmtId="1" fontId="8" fillId="14" borderId="1" xfId="0" applyNumberFormat="1" applyFont="1" applyFill="1" applyBorder="1" applyAlignment="1">
      <alignment horizontal="center"/>
    </xf>
    <xf numFmtId="3" fontId="8" fillId="14" borderId="3" xfId="0" applyNumberFormat="1" applyFont="1" applyFill="1" applyBorder="1" applyAlignment="1">
      <alignment horizontal="center"/>
    </xf>
    <xf numFmtId="0" fontId="8" fillId="14" borderId="1" xfId="0" applyFont="1" applyFill="1" applyBorder="1" applyAlignment="1">
      <alignment horizontal="center"/>
    </xf>
    <xf numFmtId="2" fontId="8" fillId="14" borderId="1" xfId="0" applyNumberFormat="1" applyFont="1" applyFill="1" applyBorder="1" applyAlignment="1">
      <alignment horizontal="center"/>
    </xf>
    <xf numFmtId="9" fontId="8" fillId="14" borderId="1" xfId="0" applyNumberFormat="1" applyFont="1" applyFill="1" applyBorder="1" applyAlignment="1">
      <alignment horizontal="center"/>
    </xf>
    <xf numFmtId="164" fontId="8" fillId="14" borderId="1" xfId="0" applyNumberFormat="1" applyFont="1" applyFill="1" applyBorder="1" applyAlignment="1">
      <alignment horizontal="center"/>
    </xf>
    <xf numFmtId="0" fontId="8" fillId="17" borderId="1" xfId="0" applyFont="1" applyFill="1" applyBorder="1" applyAlignment="1" applyProtection="1">
      <alignment horizontal="center"/>
      <protection locked="0"/>
    </xf>
    <xf numFmtId="0" fontId="32" fillId="18" borderId="34" xfId="0" applyFont="1" applyFill="1" applyBorder="1"/>
    <xf numFmtId="0" fontId="26" fillId="18" borderId="34" xfId="0" applyFont="1" applyFill="1" applyBorder="1" applyAlignment="1">
      <alignment wrapText="1"/>
    </xf>
    <xf numFmtId="9" fontId="26" fillId="18" borderId="1" xfId="0" applyNumberFormat="1" applyFont="1" applyFill="1" applyBorder="1" applyProtection="1">
      <protection locked="0"/>
    </xf>
    <xf numFmtId="9" fontId="32" fillId="14" borderId="0" xfId="0" applyNumberFormat="1" applyFont="1" applyFill="1"/>
    <xf numFmtId="0" fontId="26" fillId="14" borderId="0" xfId="0" applyFont="1" applyFill="1" applyAlignment="1">
      <alignment horizontal="center" vertical="center"/>
    </xf>
    <xf numFmtId="2" fontId="26" fillId="18" borderId="1" xfId="0" applyNumberFormat="1" applyFont="1" applyFill="1" applyBorder="1" applyAlignment="1" applyProtection="1">
      <alignment horizontal="center" vertical="center"/>
      <protection locked="0"/>
    </xf>
    <xf numFmtId="9" fontId="8" fillId="17" borderId="1" xfId="0" applyNumberFormat="1" applyFont="1" applyFill="1" applyBorder="1" applyAlignment="1" applyProtection="1">
      <alignment horizontal="center"/>
      <protection locked="0"/>
    </xf>
    <xf numFmtId="1" fontId="26" fillId="14" borderId="1" xfId="0" applyNumberFormat="1" applyFont="1" applyFill="1" applyBorder="1"/>
    <xf numFmtId="0" fontId="26" fillId="14" borderId="1" xfId="0" applyFont="1" applyFill="1" applyBorder="1"/>
    <xf numFmtId="1" fontId="32" fillId="14" borderId="0" xfId="0" applyNumberFormat="1" applyFont="1" applyFill="1" applyAlignment="1">
      <alignment horizontal="center"/>
    </xf>
    <xf numFmtId="0" fontId="26" fillId="19" borderId="1" xfId="0" applyFont="1" applyFill="1" applyBorder="1"/>
    <xf numFmtId="0" fontId="25" fillId="19" borderId="1" xfId="0" applyFont="1" applyFill="1" applyBorder="1"/>
    <xf numFmtId="1" fontId="26" fillId="19" borderId="1" xfId="0" applyNumberFormat="1" applyFont="1" applyFill="1" applyBorder="1"/>
    <xf numFmtId="10" fontId="25" fillId="15" borderId="27" xfId="0" applyNumberFormat="1" applyFont="1" applyFill="1" applyBorder="1" applyAlignment="1">
      <alignment wrapText="1"/>
    </xf>
    <xf numFmtId="14" fontId="25" fillId="15" borderId="27" xfId="0" applyNumberFormat="1" applyFont="1" applyFill="1" applyBorder="1" applyAlignment="1" applyProtection="1">
      <alignment wrapText="1"/>
      <protection hidden="1"/>
    </xf>
    <xf numFmtId="0" fontId="25" fillId="15" borderId="27" xfId="0" applyFont="1" applyFill="1" applyBorder="1" applyAlignment="1" applyProtection="1">
      <alignment wrapText="1"/>
      <protection hidden="1"/>
    </xf>
    <xf numFmtId="0" fontId="25" fillId="15" borderId="26" xfId="0" applyFont="1" applyFill="1" applyBorder="1" applyAlignment="1" applyProtection="1">
      <alignment wrapText="1"/>
      <protection hidden="1"/>
    </xf>
    <xf numFmtId="0" fontId="32" fillId="14" borderId="20" xfId="0" applyFont="1" applyFill="1" applyBorder="1" applyProtection="1">
      <protection locked="0"/>
    </xf>
    <xf numFmtId="0" fontId="18" fillId="14" borderId="8" xfId="0" applyFont="1" applyFill="1" applyBorder="1" applyProtection="1">
      <protection locked="0"/>
    </xf>
    <xf numFmtId="0" fontId="32" fillId="14" borderId="8" xfId="0" applyFont="1" applyFill="1" applyBorder="1" applyProtection="1">
      <protection locked="0"/>
    </xf>
    <xf numFmtId="0" fontId="0" fillId="14" borderId="8" xfId="0" applyFill="1" applyBorder="1"/>
    <xf numFmtId="0" fontId="0" fillId="14" borderId="8" xfId="0" applyFill="1" applyBorder="1" applyProtection="1">
      <protection locked="0"/>
    </xf>
    <xf numFmtId="14" fontId="0" fillId="14" borderId="8" xfId="0" applyNumberFormat="1" applyFill="1" applyBorder="1" applyProtection="1">
      <protection locked="0"/>
    </xf>
    <xf numFmtId="10" fontId="0" fillId="15" borderId="8" xfId="0" applyNumberFormat="1" applyFill="1" applyBorder="1"/>
    <xf numFmtId="2" fontId="0" fillId="15" borderId="8" xfId="0" applyNumberFormat="1" applyFill="1" applyBorder="1" applyProtection="1">
      <protection hidden="1"/>
    </xf>
    <xf numFmtId="14" fontId="0" fillId="15" borderId="8" xfId="0" applyNumberFormat="1" applyFill="1" applyBorder="1" applyProtection="1">
      <protection hidden="1"/>
    </xf>
    <xf numFmtId="0" fontId="0" fillId="15" borderId="21" xfId="0" applyFill="1" applyBorder="1" applyProtection="1">
      <protection locked="0" hidden="1"/>
    </xf>
    <xf numFmtId="0" fontId="32" fillId="14" borderId="15" xfId="0" applyFont="1" applyFill="1" applyBorder="1" applyProtection="1">
      <protection locked="0"/>
    </xf>
    <xf numFmtId="0" fontId="18" fillId="14" borderId="1" xfId="0" applyFont="1" applyFill="1" applyBorder="1" applyProtection="1">
      <protection locked="0"/>
    </xf>
    <xf numFmtId="0" fontId="32" fillId="14" borderId="1" xfId="0" applyFont="1" applyFill="1" applyBorder="1" applyProtection="1">
      <protection locked="0"/>
    </xf>
    <xf numFmtId="0" fontId="0" fillId="14" borderId="1" xfId="0" applyFill="1" applyBorder="1"/>
    <xf numFmtId="0" fontId="0" fillId="14" borderId="1" xfId="0" applyFill="1" applyBorder="1" applyProtection="1">
      <protection locked="0"/>
    </xf>
    <xf numFmtId="10" fontId="0" fillId="15" borderId="1" xfId="0" applyNumberFormat="1" applyFill="1" applyBorder="1"/>
    <xf numFmtId="2" fontId="0" fillId="15" borderId="1" xfId="0" applyNumberFormat="1" applyFill="1" applyBorder="1" applyProtection="1">
      <protection hidden="1"/>
    </xf>
    <xf numFmtId="0" fontId="0" fillId="15" borderId="16" xfId="0" applyFill="1" applyBorder="1" applyProtection="1">
      <protection locked="0" hidden="1"/>
    </xf>
    <xf numFmtId="0" fontId="32" fillId="14" borderId="17" xfId="0" applyFont="1" applyFill="1" applyBorder="1" applyProtection="1">
      <protection locked="0"/>
    </xf>
    <xf numFmtId="0" fontId="18" fillId="14" borderId="6" xfId="0" applyFont="1" applyFill="1" applyBorder="1" applyProtection="1">
      <protection locked="0"/>
    </xf>
    <xf numFmtId="0" fontId="32" fillId="14" borderId="6" xfId="0" applyFont="1" applyFill="1" applyBorder="1" applyProtection="1">
      <protection locked="0"/>
    </xf>
    <xf numFmtId="0" fontId="0" fillId="14" borderId="6" xfId="0" applyFill="1" applyBorder="1"/>
    <xf numFmtId="0" fontId="0" fillId="14" borderId="6" xfId="0" applyFill="1" applyBorder="1" applyProtection="1">
      <protection locked="0"/>
    </xf>
    <xf numFmtId="10" fontId="0" fillId="15" borderId="6" xfId="0" applyNumberFormat="1" applyFill="1" applyBorder="1"/>
    <xf numFmtId="2" fontId="0" fillId="15" borderId="6" xfId="0" applyNumberFormat="1" applyFill="1" applyBorder="1" applyProtection="1">
      <protection hidden="1"/>
    </xf>
    <xf numFmtId="0" fontId="0" fillId="15" borderId="18" xfId="0" applyFill="1" applyBorder="1" applyProtection="1">
      <protection locked="0" hidden="1"/>
    </xf>
    <xf numFmtId="10" fontId="1" fillId="15" borderId="24" xfId="0" applyNumberFormat="1" applyFont="1" applyFill="1" applyBorder="1"/>
    <xf numFmtId="2" fontId="1" fillId="15" borderId="24" xfId="0" applyNumberFormat="1" applyFont="1" applyFill="1" applyBorder="1" applyProtection="1">
      <protection hidden="1"/>
    </xf>
    <xf numFmtId="14" fontId="1" fillId="15" borderId="24" xfId="0" applyNumberFormat="1" applyFont="1" applyFill="1" applyBorder="1" applyProtection="1">
      <protection hidden="1"/>
    </xf>
    <xf numFmtId="0" fontId="1" fillId="15" borderId="25" xfId="0" applyFont="1" applyFill="1" applyBorder="1" applyProtection="1">
      <protection hidden="1"/>
    </xf>
    <xf numFmtId="14" fontId="0" fillId="14" borderId="8" xfId="0" applyNumberFormat="1" applyFill="1" applyBorder="1" applyAlignment="1" applyProtection="1">
      <alignment horizontal="left"/>
      <protection locked="0"/>
    </xf>
    <xf numFmtId="1" fontId="0" fillId="14" borderId="8" xfId="0" applyNumberFormat="1" applyFill="1" applyBorder="1" applyAlignment="1" applyProtection="1">
      <alignment horizontal="left"/>
      <protection locked="0"/>
    </xf>
    <xf numFmtId="1" fontId="0" fillId="14" borderId="1" xfId="0" applyNumberFormat="1" applyFill="1" applyBorder="1" applyAlignment="1" applyProtection="1">
      <alignment horizontal="left"/>
      <protection locked="0"/>
    </xf>
    <xf numFmtId="49" fontId="8" fillId="10" borderId="3" xfId="0" applyNumberFormat="1" applyFont="1" applyFill="1" applyBorder="1" applyAlignment="1" applyProtection="1">
      <alignment horizontal="left"/>
      <protection locked="0"/>
    </xf>
    <xf numFmtId="49" fontId="8" fillId="10" borderId="2" xfId="0" applyNumberFormat="1" applyFont="1" applyFill="1" applyBorder="1" applyAlignment="1" applyProtection="1">
      <alignment horizontal="left"/>
      <protection locked="0"/>
    </xf>
    <xf numFmtId="0" fontId="16" fillId="0" borderId="0" xfId="0" applyFont="1" applyAlignment="1">
      <alignment horizontal="left" wrapText="1"/>
    </xf>
    <xf numFmtId="0" fontId="0" fillId="0" borderId="0" xfId="0" applyAlignment="1">
      <alignment wrapText="1"/>
    </xf>
    <xf numFmtId="0" fontId="8" fillId="10" borderId="3" xfId="0" applyFont="1" applyFill="1" applyBorder="1" applyAlignment="1" applyProtection="1">
      <alignment horizontal="left"/>
      <protection locked="0"/>
    </xf>
    <xf numFmtId="0" fontId="8" fillId="10" borderId="2" xfId="0" applyFont="1" applyFill="1" applyBorder="1" applyAlignment="1" applyProtection="1">
      <alignment horizontal="left"/>
      <protection locked="0"/>
    </xf>
    <xf numFmtId="0" fontId="32" fillId="4" borderId="5" xfId="0" applyFont="1" applyFill="1" applyBorder="1" applyAlignment="1" applyProtection="1">
      <alignment horizontal="left"/>
      <protection locked="0"/>
    </xf>
    <xf numFmtId="0" fontId="0" fillId="4" borderId="5" xfId="0" applyFill="1" applyBorder="1" applyAlignment="1" applyProtection="1">
      <alignment horizontal="left"/>
      <protection locked="0"/>
    </xf>
    <xf numFmtId="0" fontId="29" fillId="4" borderId="5" xfId="0" applyFont="1" applyFill="1" applyBorder="1" applyAlignment="1" applyProtection="1">
      <alignment horizontal="left" wrapText="1"/>
      <protection locked="0"/>
    </xf>
    <xf numFmtId="0" fontId="11" fillId="8" borderId="0" xfId="0" applyFont="1" applyFill="1" applyAlignment="1">
      <alignment horizontal="left"/>
    </xf>
    <xf numFmtId="0" fontId="1" fillId="0" borderId="0" xfId="0" applyFont="1" applyAlignment="1">
      <alignment horizontal="left" vertical="center"/>
    </xf>
    <xf numFmtId="0" fontId="22" fillId="18" borderId="9" xfId="0" applyFont="1" applyFill="1" applyBorder="1" applyAlignment="1">
      <alignment horizontal="center" vertical="top" wrapText="1"/>
    </xf>
    <xf numFmtId="0" fontId="22" fillId="18" borderId="11" xfId="0" applyFont="1" applyFill="1" applyBorder="1" applyAlignment="1">
      <alignment horizontal="center" vertical="top" wrapText="1"/>
    </xf>
    <xf numFmtId="0" fontId="22" fillId="18" borderId="12" xfId="0" applyFont="1" applyFill="1" applyBorder="1" applyAlignment="1">
      <alignment horizontal="center" vertical="top" wrapText="1"/>
    </xf>
    <xf numFmtId="0" fontId="22" fillId="18" borderId="33" xfId="0" applyFont="1" applyFill="1" applyBorder="1" applyAlignment="1">
      <alignment horizontal="center" vertical="top" wrapText="1"/>
    </xf>
    <xf numFmtId="0" fontId="22" fillId="18" borderId="0" xfId="0" applyFont="1" applyFill="1" applyAlignment="1">
      <alignment horizontal="center" vertical="top" wrapText="1"/>
    </xf>
    <xf numFmtId="0" fontId="22" fillId="18" borderId="14" xfId="0" applyFont="1" applyFill="1" applyBorder="1" applyAlignment="1">
      <alignment horizontal="center" vertical="top" wrapText="1"/>
    </xf>
    <xf numFmtId="0" fontId="22" fillId="18" borderId="10" xfId="0" applyFont="1" applyFill="1" applyBorder="1" applyAlignment="1">
      <alignment horizontal="center" vertical="top" wrapText="1"/>
    </xf>
    <xf numFmtId="0" fontId="22" fillId="18" borderId="5" xfId="0" applyFont="1" applyFill="1" applyBorder="1" applyAlignment="1">
      <alignment horizontal="center" vertical="top" wrapText="1"/>
    </xf>
    <xf numFmtId="0" fontId="22" fillId="18" borderId="13" xfId="0" applyFont="1" applyFill="1" applyBorder="1" applyAlignment="1">
      <alignment horizontal="center" vertical="top" wrapText="1"/>
    </xf>
    <xf numFmtId="49" fontId="0" fillId="2" borderId="5" xfId="0" applyNumberFormat="1" applyFill="1" applyBorder="1" applyAlignment="1" applyProtection="1">
      <alignment horizontal="left"/>
      <protection locked="0"/>
    </xf>
    <xf numFmtId="49" fontId="16" fillId="3" borderId="4" xfId="0" applyNumberFormat="1" applyFont="1" applyFill="1" applyBorder="1" applyAlignment="1" applyProtection="1">
      <alignment horizontal="left"/>
      <protection locked="0"/>
    </xf>
    <xf numFmtId="49" fontId="0" fillId="0" borderId="4" xfId="0" applyNumberFormat="1" applyBorder="1" applyAlignment="1" applyProtection="1">
      <alignment horizontal="left"/>
      <protection locked="0"/>
    </xf>
    <xf numFmtId="49" fontId="16" fillId="3" borderId="5" xfId="0" applyNumberFormat="1" applyFont="1" applyFill="1" applyBorder="1" applyAlignment="1" applyProtection="1">
      <alignment horizontal="left"/>
      <protection locked="0"/>
    </xf>
    <xf numFmtId="49" fontId="0" fillId="0" borderId="5" xfId="0" applyNumberFormat="1" applyBorder="1" applyAlignment="1" applyProtection="1">
      <alignment horizontal="left"/>
      <protection locked="0"/>
    </xf>
    <xf numFmtId="0" fontId="11" fillId="6" borderId="0" xfId="0" applyFont="1" applyFill="1" applyAlignment="1">
      <alignment horizontal="left"/>
    </xf>
    <xf numFmtId="0" fontId="14" fillId="0" borderId="0" xfId="0" applyFont="1" applyAlignment="1">
      <alignment horizontal="left"/>
    </xf>
    <xf numFmtId="0" fontId="14" fillId="0" borderId="14" xfId="0" applyFont="1" applyBorder="1" applyAlignment="1">
      <alignment horizontal="left"/>
    </xf>
    <xf numFmtId="49" fontId="0" fillId="2" borderId="1" xfId="0" applyNumberFormat="1" applyFill="1" applyBorder="1" applyAlignment="1" applyProtection="1">
      <alignment horizontal="left"/>
      <protection locked="0"/>
    </xf>
    <xf numFmtId="49" fontId="0" fillId="3" borderId="4" xfId="0" applyNumberFormat="1" applyFill="1" applyBorder="1" applyAlignment="1" applyProtection="1">
      <alignment horizontal="left"/>
      <protection locked="0"/>
    </xf>
    <xf numFmtId="0" fontId="11" fillId="5" borderId="0" xfId="0" applyFont="1" applyFill="1" applyAlignment="1">
      <alignment horizontal="left"/>
    </xf>
    <xf numFmtId="0" fontId="11" fillId="11" borderId="0" xfId="0" applyFont="1" applyFill="1" applyAlignment="1">
      <alignment horizontal="left"/>
    </xf>
    <xf numFmtId="0" fontId="1" fillId="0" borderId="0" xfId="0" applyFont="1" applyAlignment="1">
      <alignment horizontal="left"/>
    </xf>
    <xf numFmtId="0" fontId="1" fillId="0" borderId="14" xfId="0" applyFont="1" applyBorder="1" applyAlignment="1">
      <alignment horizontal="left"/>
    </xf>
    <xf numFmtId="0" fontId="6" fillId="0" borderId="1" xfId="0" applyFont="1" applyBorder="1" applyAlignment="1">
      <alignment horizontal="left"/>
    </xf>
    <xf numFmtId="49" fontId="0" fillId="2" borderId="3" xfId="0" applyNumberFormat="1" applyFill="1" applyBorder="1" applyAlignment="1" applyProtection="1">
      <alignment horizontal="center"/>
      <protection locked="0"/>
    </xf>
    <xf numFmtId="49" fontId="0" fillId="2" borderId="4" xfId="0" applyNumberFormat="1" applyFill="1" applyBorder="1" applyAlignment="1" applyProtection="1">
      <alignment horizontal="center"/>
      <protection locked="0"/>
    </xf>
    <xf numFmtId="49" fontId="0" fillId="2" borderId="2" xfId="0" applyNumberFormat="1" applyFill="1" applyBorder="1" applyAlignment="1" applyProtection="1">
      <alignment horizontal="center"/>
      <protection locked="0"/>
    </xf>
    <xf numFmtId="0" fontId="0" fillId="0" borderId="33" xfId="0" applyBorder="1" applyAlignment="1">
      <alignment horizontal="left"/>
    </xf>
    <xf numFmtId="0" fontId="0" fillId="0" borderId="0" xfId="0"/>
    <xf numFmtId="0" fontId="0" fillId="0" borderId="14" xfId="0" applyBorder="1" applyAlignment="1">
      <alignment horizontal="left"/>
    </xf>
    <xf numFmtId="0" fontId="1" fillId="0" borderId="3" xfId="2" applyFont="1" applyFill="1" applyBorder="1" applyAlignment="1" applyProtection="1">
      <alignment horizontal="center"/>
    </xf>
    <xf numFmtId="0" fontId="1" fillId="0" borderId="2" xfId="2" applyFont="1" applyFill="1" applyBorder="1" applyAlignment="1" applyProtection="1">
      <alignment horizontal="center"/>
    </xf>
    <xf numFmtId="49" fontId="0" fillId="4" borderId="4" xfId="0" applyNumberFormat="1" applyFill="1" applyBorder="1" applyAlignment="1" applyProtection="1">
      <alignment horizontal="left"/>
      <protection locked="0"/>
    </xf>
    <xf numFmtId="49" fontId="0" fillId="3" borderId="5" xfId="0" applyNumberFormat="1" applyFill="1" applyBorder="1" applyAlignment="1" applyProtection="1">
      <alignment horizontal="left"/>
      <protection locked="0"/>
    </xf>
    <xf numFmtId="49" fontId="0" fillId="3" borderId="5" xfId="0" applyNumberFormat="1" applyFill="1" applyBorder="1" applyAlignment="1" applyProtection="1">
      <alignment horizontal="left" shrinkToFit="1"/>
      <protection locked="0"/>
    </xf>
    <xf numFmtId="49" fontId="0" fillId="0" borderId="5" xfId="0" applyNumberFormat="1" applyBorder="1" applyAlignment="1" applyProtection="1">
      <alignment horizontal="left" shrinkToFit="1"/>
      <protection locked="0"/>
    </xf>
    <xf numFmtId="49" fontId="0" fillId="3" borderId="4" xfId="0" applyNumberFormat="1" applyFill="1" applyBorder="1" applyAlignment="1" applyProtection="1">
      <alignment horizontal="left" shrinkToFit="1"/>
      <protection locked="0"/>
    </xf>
    <xf numFmtId="49" fontId="0" fillId="0" borderId="4" xfId="0" applyNumberFormat="1" applyBorder="1" applyAlignment="1" applyProtection="1">
      <alignment horizontal="left" shrinkToFit="1"/>
      <protection locked="0"/>
    </xf>
    <xf numFmtId="0" fontId="10" fillId="0" borderId="0" xfId="0" applyFont="1" applyAlignment="1">
      <alignment horizontal="left"/>
    </xf>
    <xf numFmtId="0" fontId="0" fillId="4" borderId="4" xfId="0" applyFill="1" applyBorder="1" applyAlignment="1" applyProtection="1">
      <alignment horizontal="left"/>
      <protection locked="0"/>
    </xf>
    <xf numFmtId="0" fontId="15" fillId="6" borderId="0" xfId="0" applyFont="1" applyFill="1" applyAlignment="1">
      <alignment horizontal="left" wrapText="1"/>
    </xf>
    <xf numFmtId="0" fontId="11" fillId="7" borderId="0" xfId="0" applyFont="1" applyFill="1" applyAlignment="1">
      <alignment horizontal="left"/>
    </xf>
    <xf numFmtId="49" fontId="1" fillId="2" borderId="5" xfId="0" applyNumberFormat="1" applyFont="1" applyFill="1" applyBorder="1" applyAlignment="1" applyProtection="1">
      <alignment horizontal="left"/>
      <protection locked="0"/>
    </xf>
    <xf numFmtId="14" fontId="6" fillId="14" borderId="3" xfId="0" applyNumberFormat="1" applyFont="1" applyFill="1" applyBorder="1" applyAlignment="1" applyProtection="1">
      <alignment horizontal="center"/>
      <protection locked="0"/>
    </xf>
    <xf numFmtId="14" fontId="6" fillId="14" borderId="4" xfId="0" applyNumberFormat="1" applyFont="1" applyFill="1" applyBorder="1" applyAlignment="1" applyProtection="1">
      <alignment horizontal="center"/>
      <protection locked="0"/>
    </xf>
    <xf numFmtId="14" fontId="6" fillId="14" borderId="2" xfId="0" applyNumberFormat="1" applyFont="1" applyFill="1" applyBorder="1" applyAlignment="1" applyProtection="1">
      <alignment horizontal="center"/>
      <protection locked="0"/>
    </xf>
    <xf numFmtId="14" fontId="6" fillId="14" borderId="4" xfId="0" applyNumberFormat="1" applyFont="1" applyFill="1" applyBorder="1" applyAlignment="1" applyProtection="1">
      <alignment horizontal="center" shrinkToFit="1"/>
      <protection locked="0"/>
    </xf>
    <xf numFmtId="0" fontId="15" fillId="7" borderId="0" xfId="0" applyFont="1" applyFill="1" applyAlignment="1">
      <alignment horizontal="left" wrapText="1"/>
    </xf>
    <xf numFmtId="0" fontId="15" fillId="5" borderId="0" xfId="0" applyFont="1" applyFill="1" applyAlignment="1">
      <alignment horizontal="left" wrapText="1"/>
    </xf>
    <xf numFmtId="0" fontId="9" fillId="11" borderId="0" xfId="0" applyFont="1" applyFill="1" applyAlignment="1">
      <alignment horizontal="left" wrapText="1"/>
    </xf>
    <xf numFmtId="0" fontId="15" fillId="8" borderId="0" xfId="0" applyFont="1" applyFill="1" applyAlignment="1">
      <alignment horizontal="left" wrapText="1"/>
    </xf>
    <xf numFmtId="0" fontId="8" fillId="10" borderId="4" xfId="0" applyFont="1" applyFill="1" applyBorder="1" applyAlignment="1" applyProtection="1">
      <alignment horizontal="left"/>
      <protection locked="0"/>
    </xf>
    <xf numFmtId="0" fontId="13" fillId="0" borderId="0" xfId="0" applyFont="1" applyAlignment="1">
      <alignment horizontal="left"/>
    </xf>
    <xf numFmtId="14" fontId="6" fillId="10" borderId="3" xfId="0" applyNumberFormat="1" applyFont="1" applyFill="1" applyBorder="1" applyAlignment="1" applyProtection="1">
      <alignment horizontal="center"/>
      <protection locked="0"/>
    </xf>
    <xf numFmtId="14" fontId="6" fillId="10" borderId="4" xfId="0" applyNumberFormat="1" applyFont="1" applyFill="1" applyBorder="1" applyAlignment="1" applyProtection="1">
      <alignment horizontal="center"/>
      <protection locked="0"/>
    </xf>
    <xf numFmtId="14" fontId="6" fillId="10" borderId="2" xfId="0" applyNumberFormat="1" applyFont="1" applyFill="1" applyBorder="1" applyAlignment="1" applyProtection="1">
      <alignment horizontal="center"/>
      <protection locked="0"/>
    </xf>
    <xf numFmtId="0" fontId="1" fillId="10" borderId="3" xfId="0" applyFont="1" applyFill="1" applyBorder="1" applyAlignment="1" applyProtection="1">
      <alignment horizontal="left"/>
      <protection locked="0"/>
    </xf>
    <xf numFmtId="0" fontId="1" fillId="10" borderId="4" xfId="0" applyFont="1" applyFill="1" applyBorder="1" applyAlignment="1" applyProtection="1">
      <alignment horizontal="left"/>
      <protection locked="0"/>
    </xf>
    <xf numFmtId="0" fontId="1" fillId="10" borderId="2" xfId="0" applyFont="1" applyFill="1" applyBorder="1" applyAlignment="1" applyProtection="1">
      <alignment horizontal="left"/>
      <protection locked="0"/>
    </xf>
    <xf numFmtId="0" fontId="22" fillId="0" borderId="4" xfId="2" applyFont="1" applyFill="1" applyBorder="1" applyAlignment="1" applyProtection="1">
      <alignment horizontal="center" vertical="top" wrapText="1"/>
    </xf>
    <xf numFmtId="0" fontId="22" fillId="0" borderId="2" xfId="2" applyFont="1" applyFill="1" applyBorder="1" applyAlignment="1" applyProtection="1">
      <alignment horizontal="center" vertical="top" wrapText="1"/>
    </xf>
    <xf numFmtId="0" fontId="6" fillId="10" borderId="3" xfId="0" applyFont="1" applyFill="1" applyBorder="1" applyAlignment="1" applyProtection="1">
      <alignment horizontal="left"/>
      <protection locked="0"/>
    </xf>
    <xf numFmtId="0" fontId="6" fillId="10" borderId="4" xfId="0" applyFont="1" applyFill="1" applyBorder="1" applyAlignment="1" applyProtection="1">
      <alignment horizontal="left"/>
      <protection locked="0"/>
    </xf>
    <xf numFmtId="0" fontId="6" fillId="10" borderId="2" xfId="0" applyFont="1" applyFill="1" applyBorder="1" applyAlignment="1" applyProtection="1">
      <alignment horizontal="left"/>
      <protection locked="0"/>
    </xf>
    <xf numFmtId="49" fontId="6" fillId="10" borderId="3" xfId="0" applyNumberFormat="1" applyFont="1" applyFill="1" applyBorder="1" applyAlignment="1" applyProtection="1">
      <alignment horizontal="left"/>
      <protection locked="0"/>
    </xf>
    <xf numFmtId="49" fontId="6" fillId="10" borderId="4" xfId="0" applyNumberFormat="1" applyFont="1" applyFill="1" applyBorder="1" applyAlignment="1" applyProtection="1">
      <alignment horizontal="left"/>
      <protection locked="0"/>
    </xf>
    <xf numFmtId="49" fontId="6" fillId="10" borderId="2" xfId="0" applyNumberFormat="1" applyFont="1" applyFill="1" applyBorder="1" applyAlignment="1" applyProtection="1">
      <alignment horizontal="left"/>
      <protection locked="0"/>
    </xf>
    <xf numFmtId="0" fontId="29" fillId="17" borderId="5" xfId="0" applyFont="1" applyFill="1" applyBorder="1" applyAlignment="1" applyProtection="1">
      <alignment horizontal="left" vertical="top" wrapText="1"/>
      <protection locked="0"/>
    </xf>
    <xf numFmtId="0" fontId="45" fillId="0" borderId="0" xfId="0" applyFont="1" applyAlignment="1">
      <alignment horizontal="left"/>
    </xf>
  </cellXfs>
  <cellStyles count="8">
    <cellStyle name="Format 1" xfId="3" xr:uid="{00000000-0005-0000-0000-000001000000}"/>
    <cellStyle name="Hyperlänk" xfId="7" builtinId="8"/>
    <cellStyle name="Indata" xfId="2" builtinId="20"/>
    <cellStyle name="Indata 2" xfId="5" xr:uid="{00000000-0005-0000-0000-000004000000}"/>
    <cellStyle name="Normal" xfId="0" builtinId="0"/>
    <cellStyle name="Normal 2" xfId="4" xr:uid="{00000000-0005-0000-0000-000006000000}"/>
    <cellStyle name="Procent" xfId="1" builtinId="5"/>
    <cellStyle name="Procent 2" xfId="6" xr:uid="{00000000-0005-0000-0000-000008000000}"/>
  </cellStyles>
  <dxfs count="5">
    <dxf>
      <font>
        <color rgb="FFFF0000"/>
      </font>
    </dxf>
    <dxf>
      <font>
        <color rgb="FFFF0000"/>
      </font>
    </dxf>
    <dxf>
      <font>
        <color rgb="FFFF0000"/>
      </font>
    </dxf>
    <dxf>
      <font>
        <color theme="0"/>
      </font>
    </dxf>
    <dxf>
      <font>
        <color rgb="FFFF0000"/>
      </font>
    </dxf>
  </dxfs>
  <tableStyles count="0" defaultTableStyle="TableStyleMedium2" defaultPivotStyle="PivotStyleLight16"/>
  <colors>
    <mruColors>
      <color rgb="FFFFCC99"/>
      <color rgb="FFFFFF99"/>
      <color rgb="FFFFFF66"/>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16.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Observerad kalv / vuxet hondjur</a:t>
            </a:r>
          </a:p>
        </c:rich>
      </c:tx>
      <c:overlay val="0"/>
    </c:title>
    <c:autoTitleDeleted val="0"/>
    <c:plotArea>
      <c:layout/>
      <c:lineChart>
        <c:grouping val="stacked"/>
        <c:varyColors val="0"/>
        <c:ser>
          <c:idx val="0"/>
          <c:order val="0"/>
          <c:tx>
            <c:strRef>
              <c:f>'Beräkning avskjutning'!$A$31</c:f>
              <c:strCache>
                <c:ptCount val="1"/>
                <c:pt idx="0">
                  <c:v>Kalv/hondjur</c:v>
                </c:pt>
              </c:strCache>
            </c:strRef>
          </c:tx>
          <c:val>
            <c:numRef>
              <c:f>'Beräkning avskjutning'!$B$31:$E$31</c:f>
              <c:numCache>
                <c:formatCode>0.00</c:formatCode>
                <c:ptCount val="4"/>
                <c:pt idx="0">
                  <c:v>0.52900000000000003</c:v>
                </c:pt>
                <c:pt idx="1">
                  <c:v>0.73799999999999999</c:v>
                </c:pt>
                <c:pt idx="2">
                  <c:v>0.313</c:v>
                </c:pt>
                <c:pt idx="3">
                  <c:v>0.59299999999999997</c:v>
                </c:pt>
              </c:numCache>
            </c:numRef>
          </c:val>
          <c:smooth val="0"/>
          <c:extLst>
            <c:ext xmlns:c15="http://schemas.microsoft.com/office/drawing/2012/chart" uri="{02D57815-91ED-43cb-92C2-25804820EDAC}">
              <c15:filteredCategoryTitle>
                <c15:cat>
                  <c:numRef>
                    <c:extLst>
                      <c:ext uri="{02D57815-91ED-43cb-92C2-25804820EDAC}">
                        <c15:formulaRef>
                          <c15:sqref>'Beräkning avskjutning'!$B$29:$E$29</c15:sqref>
                        </c15:formulaRef>
                      </c:ext>
                    </c:extLst>
                    <c:numCache>
                      <c:formatCode>General</c:formatCode>
                      <c:ptCount val="4"/>
                      <c:pt idx="0">
                        <c:v>2020</c:v>
                      </c:pt>
                      <c:pt idx="1">
                        <c:v>2021</c:v>
                      </c:pt>
                      <c:pt idx="2">
                        <c:v>2022</c:v>
                      </c:pt>
                      <c:pt idx="3">
                        <c:v>2023</c:v>
                      </c:pt>
                    </c:numCache>
                  </c:numRef>
                </c15:cat>
              </c15:filteredCategoryTitle>
            </c:ext>
            <c:ext xmlns:c16="http://schemas.microsoft.com/office/drawing/2014/chart" uri="{C3380CC4-5D6E-409C-BE32-E72D297353CC}">
              <c16:uniqueId val="{00000000-F893-4F15-92E2-4C83307448C5}"/>
            </c:ext>
          </c:extLst>
        </c:ser>
        <c:dLbls>
          <c:showLegendKey val="0"/>
          <c:showVal val="0"/>
          <c:showCatName val="0"/>
          <c:showSerName val="0"/>
          <c:showPercent val="0"/>
          <c:showBubbleSize val="0"/>
        </c:dLbls>
        <c:marker val="1"/>
        <c:smooth val="0"/>
        <c:axId val="170614144"/>
        <c:axId val="152694784"/>
      </c:lineChart>
      <c:catAx>
        <c:axId val="170614144"/>
        <c:scaling>
          <c:orientation val="minMax"/>
        </c:scaling>
        <c:delete val="0"/>
        <c:axPos val="b"/>
        <c:numFmt formatCode="General" sourceLinked="1"/>
        <c:majorTickMark val="out"/>
        <c:minorTickMark val="none"/>
        <c:tickLblPos val="nextTo"/>
        <c:crossAx val="152694784"/>
        <c:crosses val="autoZero"/>
        <c:auto val="1"/>
        <c:lblAlgn val="ctr"/>
        <c:lblOffset val="100"/>
        <c:noMultiLvlLbl val="0"/>
      </c:catAx>
      <c:valAx>
        <c:axId val="152694784"/>
        <c:scaling>
          <c:orientation val="minMax"/>
          <c:min val="0.5"/>
        </c:scaling>
        <c:delete val="0"/>
        <c:axPos val="l"/>
        <c:majorGridlines/>
        <c:numFmt formatCode="0.00" sourceLinked="1"/>
        <c:majorTickMark val="out"/>
        <c:minorTickMark val="none"/>
        <c:tickLblPos val="nextTo"/>
        <c:crossAx val="170614144"/>
        <c:crosses val="autoZero"/>
        <c:crossBetween val="between"/>
        <c:majorUnit val="0.1"/>
      </c:valAx>
    </c:plotArea>
    <c:legend>
      <c:legendPos val="r"/>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manualLayout>
          <c:layoutTarget val="inner"/>
          <c:xMode val="edge"/>
          <c:yMode val="edge"/>
          <c:x val="8.0146815955617581E-2"/>
          <c:y val="0.14317868566036721"/>
          <c:w val="0.54884835792741971"/>
          <c:h val="0.80855797874296642"/>
        </c:manualLayout>
      </c:layout>
      <c:lineChart>
        <c:grouping val="stacked"/>
        <c:varyColors val="0"/>
        <c:ser>
          <c:idx val="0"/>
          <c:order val="0"/>
          <c:tx>
            <c:v>Spillningsinventering</c:v>
          </c:tx>
          <c:val>
            <c:numRef>
              <c:f>'Beräkning avskjutning'!$B$37:$E$37</c:f>
              <c:numCache>
                <c:formatCode>0.0</c:formatCode>
                <c:ptCount val="4"/>
                <c:pt idx="0">
                  <c:v>0</c:v>
                </c:pt>
                <c:pt idx="1">
                  <c:v>0</c:v>
                </c:pt>
                <c:pt idx="2">
                  <c:v>0</c:v>
                </c:pt>
                <c:pt idx="3">
                  <c:v>0</c:v>
                </c:pt>
              </c:numCache>
            </c:numRef>
          </c:val>
          <c:smooth val="0"/>
          <c:extLst>
            <c:ext xmlns:c15="http://schemas.microsoft.com/office/drawing/2012/chart" uri="{02D57815-91ED-43cb-92C2-25804820EDAC}">
              <c15:filteredCategoryTitle>
                <c15:cat>
                  <c:numRef>
                    <c:extLst>
                      <c:ext uri="{02D57815-91ED-43cb-92C2-25804820EDAC}">
                        <c15:formulaRef>
                          <c15:sqref>'Beräkning avskjutning'!$B$36:$E$36</c15:sqref>
                        </c15:formulaRef>
                      </c:ext>
                    </c:extLst>
                    <c:numCache>
                      <c:formatCode>General</c:formatCode>
                      <c:ptCount val="4"/>
                      <c:pt idx="0">
                        <c:v>0</c:v>
                      </c:pt>
                      <c:pt idx="1">
                        <c:v>0</c:v>
                      </c:pt>
                      <c:pt idx="2">
                        <c:v>0</c:v>
                      </c:pt>
                      <c:pt idx="3">
                        <c:v>0</c:v>
                      </c:pt>
                    </c:numCache>
                  </c:numRef>
                </c15:cat>
              </c15:filteredCategoryTitle>
            </c:ext>
            <c:ext xmlns:c16="http://schemas.microsoft.com/office/drawing/2014/chart" uri="{C3380CC4-5D6E-409C-BE32-E72D297353CC}">
              <c16:uniqueId val="{00000000-5C3F-47F0-BAAE-D1CD0851F99E}"/>
            </c:ext>
          </c:extLst>
        </c:ser>
        <c:dLbls>
          <c:showLegendKey val="0"/>
          <c:showVal val="0"/>
          <c:showCatName val="0"/>
          <c:showSerName val="0"/>
          <c:showPercent val="0"/>
          <c:showBubbleSize val="0"/>
        </c:dLbls>
        <c:marker val="1"/>
        <c:smooth val="0"/>
        <c:axId val="152756224"/>
        <c:axId val="152757760"/>
      </c:lineChart>
      <c:catAx>
        <c:axId val="152756224"/>
        <c:scaling>
          <c:orientation val="minMax"/>
        </c:scaling>
        <c:delete val="0"/>
        <c:axPos val="b"/>
        <c:numFmt formatCode="General" sourceLinked="1"/>
        <c:majorTickMark val="out"/>
        <c:minorTickMark val="none"/>
        <c:tickLblPos val="nextTo"/>
        <c:crossAx val="152757760"/>
        <c:crosses val="autoZero"/>
        <c:auto val="1"/>
        <c:lblAlgn val="ctr"/>
        <c:lblOffset val="100"/>
        <c:noMultiLvlLbl val="0"/>
      </c:catAx>
      <c:valAx>
        <c:axId val="152757760"/>
        <c:scaling>
          <c:orientation val="minMax"/>
        </c:scaling>
        <c:delete val="0"/>
        <c:axPos val="l"/>
        <c:majorGridlines/>
        <c:numFmt formatCode="0.0" sourceLinked="1"/>
        <c:majorTickMark val="out"/>
        <c:minorTickMark val="none"/>
        <c:tickLblPos val="nextTo"/>
        <c:crossAx val="152756224"/>
        <c:crosses val="autoZero"/>
        <c:crossBetween val="between"/>
        <c:majorUnit val="1"/>
      </c:valAx>
    </c:plotArea>
    <c:legend>
      <c:legendPos val="r"/>
      <c:overlay val="0"/>
    </c:legend>
    <c:plotVisOnly val="1"/>
    <c:dispBlanksAs val="zero"/>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lineChart>
        <c:grouping val="stacked"/>
        <c:varyColors val="0"/>
        <c:ser>
          <c:idx val="0"/>
          <c:order val="0"/>
          <c:tx>
            <c:strRef>
              <c:f>'Beräkning avskjutning'!$A$30</c:f>
              <c:strCache>
                <c:ptCount val="1"/>
                <c:pt idx="0">
                  <c:v>Obs/mantimme</c:v>
                </c:pt>
              </c:strCache>
            </c:strRef>
          </c:tx>
          <c:val>
            <c:numRef>
              <c:f>'Beräkning avskjutning'!$B$30:$E$30</c:f>
              <c:numCache>
                <c:formatCode>General</c:formatCode>
                <c:ptCount val="4"/>
                <c:pt idx="0">
                  <c:v>7.2900000000000006E-2</c:v>
                </c:pt>
                <c:pt idx="1">
                  <c:v>8.0399999999999999E-2</c:v>
                </c:pt>
                <c:pt idx="2">
                  <c:v>6.9099999999999995E-2</c:v>
                </c:pt>
                <c:pt idx="3">
                  <c:v>6.4299999999999996E-2</c:v>
                </c:pt>
              </c:numCache>
            </c:numRef>
          </c:val>
          <c:smooth val="0"/>
          <c:extLst>
            <c:ext xmlns:c15="http://schemas.microsoft.com/office/drawing/2012/chart" uri="{02D57815-91ED-43cb-92C2-25804820EDAC}">
              <c15:filteredCategoryTitle>
                <c15:cat>
                  <c:numRef>
                    <c:extLst>
                      <c:ext uri="{02D57815-91ED-43cb-92C2-25804820EDAC}">
                        <c15:formulaRef>
                          <c15:sqref>'Beräkning avskjutning'!$B$29:$E$29</c15:sqref>
                        </c15:formulaRef>
                      </c:ext>
                    </c:extLst>
                    <c:numCache>
                      <c:formatCode>General</c:formatCode>
                      <c:ptCount val="4"/>
                      <c:pt idx="0">
                        <c:v>2020</c:v>
                      </c:pt>
                      <c:pt idx="1">
                        <c:v>2021</c:v>
                      </c:pt>
                      <c:pt idx="2">
                        <c:v>2022</c:v>
                      </c:pt>
                      <c:pt idx="3">
                        <c:v>2023</c:v>
                      </c:pt>
                    </c:numCache>
                  </c:numRef>
                </c15:cat>
              </c15:filteredCategoryTitle>
            </c:ext>
            <c:ext xmlns:c16="http://schemas.microsoft.com/office/drawing/2014/chart" uri="{C3380CC4-5D6E-409C-BE32-E72D297353CC}">
              <c16:uniqueId val="{00000000-4408-4B90-AD60-10C339272820}"/>
            </c:ext>
          </c:extLst>
        </c:ser>
        <c:dLbls>
          <c:showLegendKey val="0"/>
          <c:showVal val="0"/>
          <c:showCatName val="0"/>
          <c:showSerName val="0"/>
          <c:showPercent val="0"/>
          <c:showBubbleSize val="0"/>
        </c:dLbls>
        <c:marker val="1"/>
        <c:smooth val="0"/>
        <c:axId val="188077568"/>
        <c:axId val="188079104"/>
      </c:lineChart>
      <c:catAx>
        <c:axId val="188077568"/>
        <c:scaling>
          <c:orientation val="minMax"/>
        </c:scaling>
        <c:delete val="0"/>
        <c:axPos val="b"/>
        <c:numFmt formatCode="General" sourceLinked="1"/>
        <c:majorTickMark val="out"/>
        <c:minorTickMark val="none"/>
        <c:tickLblPos val="nextTo"/>
        <c:crossAx val="188079104"/>
        <c:crosses val="autoZero"/>
        <c:auto val="1"/>
        <c:lblAlgn val="ctr"/>
        <c:lblOffset val="100"/>
        <c:noMultiLvlLbl val="0"/>
      </c:catAx>
      <c:valAx>
        <c:axId val="188079104"/>
        <c:scaling>
          <c:orientation val="minMax"/>
          <c:min val="0"/>
        </c:scaling>
        <c:delete val="0"/>
        <c:axPos val="l"/>
        <c:majorGridlines/>
        <c:numFmt formatCode="General" sourceLinked="1"/>
        <c:majorTickMark val="out"/>
        <c:minorTickMark val="none"/>
        <c:tickLblPos val="nextTo"/>
        <c:crossAx val="188077568"/>
        <c:crosses val="autoZero"/>
        <c:crossBetween val="between"/>
        <c:majorUnit val="1.0000000000000002E-2"/>
      </c:valAx>
    </c:plotArea>
    <c:legend>
      <c:legendPos val="r"/>
      <c:overlay val="0"/>
    </c:legend>
    <c:plotVisOnly val="1"/>
    <c:dispBlanksAs val="zero"/>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lineChart>
        <c:grouping val="stacked"/>
        <c:varyColors val="0"/>
        <c:ser>
          <c:idx val="0"/>
          <c:order val="0"/>
          <c:tx>
            <c:v>Tot avsk/1000 ha</c:v>
          </c:tx>
          <c:val>
            <c:numRef>
              <c:f>'Beräkning avskjutning'!$B$12:$D$12</c:f>
              <c:numCache>
                <c:formatCode>0.0</c:formatCode>
                <c:ptCount val="3"/>
                <c:pt idx="0">
                  <c:v>2.8044146915143839</c:v>
                </c:pt>
                <c:pt idx="1">
                  <c:v>2.2616247512212775</c:v>
                </c:pt>
                <c:pt idx="2">
                  <c:v>1.1760448706350644</c:v>
                </c:pt>
              </c:numCache>
            </c:numRef>
          </c:val>
          <c:smooth val="0"/>
          <c:extLst>
            <c:ext xmlns:c15="http://schemas.microsoft.com/office/drawing/2012/chart" uri="{02D57815-91ED-43cb-92C2-25804820EDAC}">
              <c15:filteredCategoryTitle>
                <c15:cat>
                  <c:numRef>
                    <c:extLst>
                      <c:ext uri="{02D57815-91ED-43cb-92C2-25804820EDAC}">
                        <c15:formulaRef>
                          <c15:sqref>'Beräkning avskjutning'!$B$6:$D$6</c15:sqref>
                        </c15:formulaRef>
                      </c:ext>
                    </c:extLst>
                    <c:numCache>
                      <c:formatCode>General</c:formatCode>
                      <c:ptCount val="3"/>
                      <c:pt idx="0">
                        <c:v>2021</c:v>
                      </c:pt>
                      <c:pt idx="1">
                        <c:v>2022</c:v>
                      </c:pt>
                      <c:pt idx="2">
                        <c:v>2023</c:v>
                      </c:pt>
                    </c:numCache>
                  </c:numRef>
                </c15:cat>
              </c15:filteredCategoryTitle>
            </c:ext>
            <c:ext xmlns:c16="http://schemas.microsoft.com/office/drawing/2014/chart" uri="{C3380CC4-5D6E-409C-BE32-E72D297353CC}">
              <c16:uniqueId val="{00000000-2A97-4A81-88ED-B3D2FAACE12A}"/>
            </c:ext>
          </c:extLst>
        </c:ser>
        <c:dLbls>
          <c:showLegendKey val="0"/>
          <c:showVal val="0"/>
          <c:showCatName val="0"/>
          <c:showSerName val="0"/>
          <c:showPercent val="0"/>
          <c:showBubbleSize val="0"/>
        </c:dLbls>
        <c:marker val="1"/>
        <c:smooth val="0"/>
        <c:axId val="154024960"/>
        <c:axId val="154034944"/>
      </c:lineChart>
      <c:catAx>
        <c:axId val="154024960"/>
        <c:scaling>
          <c:orientation val="minMax"/>
        </c:scaling>
        <c:delete val="0"/>
        <c:axPos val="b"/>
        <c:numFmt formatCode="General" sourceLinked="1"/>
        <c:majorTickMark val="out"/>
        <c:minorTickMark val="none"/>
        <c:tickLblPos val="nextTo"/>
        <c:crossAx val="154034944"/>
        <c:crosses val="autoZero"/>
        <c:auto val="1"/>
        <c:lblAlgn val="ctr"/>
        <c:lblOffset val="100"/>
        <c:noMultiLvlLbl val="0"/>
      </c:catAx>
      <c:valAx>
        <c:axId val="154034944"/>
        <c:scaling>
          <c:orientation val="minMax"/>
          <c:min val="0"/>
        </c:scaling>
        <c:delete val="0"/>
        <c:axPos val="l"/>
        <c:majorGridlines/>
        <c:numFmt formatCode="0.0" sourceLinked="1"/>
        <c:majorTickMark val="out"/>
        <c:minorTickMark val="none"/>
        <c:tickLblPos val="nextTo"/>
        <c:crossAx val="154024960"/>
        <c:crosses val="autoZero"/>
        <c:crossBetween val="between"/>
      </c:valAx>
    </c:plotArea>
    <c:legend>
      <c:legendPos val="r"/>
      <c:overlay val="0"/>
    </c:legend>
    <c:plotVisOnly val="1"/>
    <c:dispBlanksAs val="zero"/>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Observerad kalv / vuxet hondjur</a:t>
            </a:r>
          </a:p>
        </c:rich>
      </c:tx>
      <c:overlay val="0"/>
    </c:title>
    <c:autoTitleDeleted val="0"/>
    <c:plotArea>
      <c:layout/>
      <c:lineChart>
        <c:grouping val="stacked"/>
        <c:varyColors val="0"/>
        <c:ser>
          <c:idx val="0"/>
          <c:order val="0"/>
          <c:tx>
            <c:strRef>
              <c:f>'Beräkning avskjutning'!$A$31</c:f>
              <c:strCache>
                <c:ptCount val="1"/>
                <c:pt idx="0">
                  <c:v>Kalv/hondjur</c:v>
                </c:pt>
              </c:strCache>
            </c:strRef>
          </c:tx>
          <c:val>
            <c:numRef>
              <c:f>'Beräkning avskjutning'!$B$31:$E$31</c:f>
              <c:numCache>
                <c:formatCode>0.00</c:formatCode>
                <c:ptCount val="4"/>
                <c:pt idx="0">
                  <c:v>0.52900000000000003</c:v>
                </c:pt>
                <c:pt idx="1">
                  <c:v>0.73799999999999999</c:v>
                </c:pt>
                <c:pt idx="2">
                  <c:v>0.313</c:v>
                </c:pt>
                <c:pt idx="3">
                  <c:v>0.59299999999999997</c:v>
                </c:pt>
              </c:numCache>
            </c:numRef>
          </c:val>
          <c:smooth val="0"/>
          <c:extLst>
            <c:ext xmlns:c15="http://schemas.microsoft.com/office/drawing/2012/chart" uri="{02D57815-91ED-43cb-92C2-25804820EDAC}">
              <c15:filteredCategoryTitle>
                <c15:cat>
                  <c:numRef>
                    <c:extLst>
                      <c:ext uri="{02D57815-91ED-43cb-92C2-25804820EDAC}">
                        <c15:formulaRef>
                          <c15:sqref>'Beräkning avskjutning'!$B$29:$E$29</c15:sqref>
                        </c15:formulaRef>
                      </c:ext>
                    </c:extLst>
                    <c:numCache>
                      <c:formatCode>General</c:formatCode>
                      <c:ptCount val="4"/>
                      <c:pt idx="0">
                        <c:v>2020</c:v>
                      </c:pt>
                      <c:pt idx="1">
                        <c:v>2021</c:v>
                      </c:pt>
                      <c:pt idx="2">
                        <c:v>2022</c:v>
                      </c:pt>
                      <c:pt idx="3">
                        <c:v>2023</c:v>
                      </c:pt>
                    </c:numCache>
                  </c:numRef>
                </c15:cat>
              </c15:filteredCategoryTitle>
            </c:ext>
            <c:ext xmlns:c16="http://schemas.microsoft.com/office/drawing/2014/chart" uri="{C3380CC4-5D6E-409C-BE32-E72D297353CC}">
              <c16:uniqueId val="{00000000-F817-4CC1-AE67-058F8012E869}"/>
            </c:ext>
          </c:extLst>
        </c:ser>
        <c:dLbls>
          <c:showLegendKey val="0"/>
          <c:showVal val="0"/>
          <c:showCatName val="0"/>
          <c:showSerName val="0"/>
          <c:showPercent val="0"/>
          <c:showBubbleSize val="0"/>
        </c:dLbls>
        <c:marker val="1"/>
        <c:smooth val="0"/>
        <c:axId val="154057344"/>
        <c:axId val="154071424"/>
      </c:lineChart>
      <c:catAx>
        <c:axId val="154057344"/>
        <c:scaling>
          <c:orientation val="minMax"/>
        </c:scaling>
        <c:delete val="0"/>
        <c:axPos val="b"/>
        <c:numFmt formatCode="General" sourceLinked="1"/>
        <c:majorTickMark val="out"/>
        <c:minorTickMark val="none"/>
        <c:tickLblPos val="nextTo"/>
        <c:crossAx val="154071424"/>
        <c:crosses val="autoZero"/>
        <c:auto val="1"/>
        <c:lblAlgn val="ctr"/>
        <c:lblOffset val="100"/>
        <c:noMultiLvlLbl val="0"/>
      </c:catAx>
      <c:valAx>
        <c:axId val="154071424"/>
        <c:scaling>
          <c:orientation val="minMax"/>
          <c:min val="0.5"/>
        </c:scaling>
        <c:delete val="0"/>
        <c:axPos val="l"/>
        <c:majorGridlines/>
        <c:numFmt formatCode="0.00" sourceLinked="1"/>
        <c:majorTickMark val="out"/>
        <c:minorTickMark val="none"/>
        <c:tickLblPos val="nextTo"/>
        <c:crossAx val="154057344"/>
        <c:crosses val="autoZero"/>
        <c:crossBetween val="between"/>
        <c:majorUnit val="0.1"/>
      </c:valAx>
    </c:plotArea>
    <c:legend>
      <c:legendPos val="r"/>
      <c:overlay val="0"/>
    </c:legend>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en-US"/>
              <a:t>Observerade tjurar / av vuxna</a:t>
            </a:r>
            <a:r>
              <a:rPr lang="en-US" baseline="0"/>
              <a:t> </a:t>
            </a:r>
            <a:r>
              <a:rPr lang="en-US"/>
              <a:t>djur</a:t>
            </a:r>
          </a:p>
        </c:rich>
      </c:tx>
      <c:overlay val="0"/>
    </c:title>
    <c:autoTitleDeleted val="0"/>
    <c:plotArea>
      <c:layout/>
      <c:lineChart>
        <c:grouping val="stacked"/>
        <c:varyColors val="0"/>
        <c:ser>
          <c:idx val="0"/>
          <c:order val="0"/>
          <c:tx>
            <c:strRef>
              <c:f>'Beräkning avskjutning'!$A$32</c:f>
              <c:strCache>
                <c:ptCount val="1"/>
                <c:pt idx="0">
                  <c:v>Tjur/vuxna</c:v>
                </c:pt>
              </c:strCache>
            </c:strRef>
          </c:tx>
          <c:val>
            <c:numRef>
              <c:f>'Beräkning avskjutning'!$B$32:$E$32</c:f>
              <c:numCache>
                <c:formatCode>0%</c:formatCode>
                <c:ptCount val="4"/>
                <c:pt idx="0">
                  <c:v>0.35399999999999998</c:v>
                </c:pt>
                <c:pt idx="1">
                  <c:v>0.433</c:v>
                </c:pt>
                <c:pt idx="2">
                  <c:v>0.32700000000000001</c:v>
                </c:pt>
                <c:pt idx="3">
                  <c:v>0.46</c:v>
                </c:pt>
              </c:numCache>
            </c:numRef>
          </c:val>
          <c:smooth val="0"/>
          <c:extLst>
            <c:ext xmlns:c15="http://schemas.microsoft.com/office/drawing/2012/chart" uri="{02D57815-91ED-43cb-92C2-25804820EDAC}">
              <c15:filteredCategoryTitle>
                <c15:cat>
                  <c:numRef>
                    <c:extLst>
                      <c:ext uri="{02D57815-91ED-43cb-92C2-25804820EDAC}">
                        <c15:formulaRef>
                          <c15:sqref>'Beräkning avskjutning'!$B$29:$E$29</c15:sqref>
                        </c15:formulaRef>
                      </c:ext>
                    </c:extLst>
                    <c:numCache>
                      <c:formatCode>General</c:formatCode>
                      <c:ptCount val="4"/>
                      <c:pt idx="0">
                        <c:v>2020</c:v>
                      </c:pt>
                      <c:pt idx="1">
                        <c:v>2021</c:v>
                      </c:pt>
                      <c:pt idx="2">
                        <c:v>2022</c:v>
                      </c:pt>
                      <c:pt idx="3">
                        <c:v>2023</c:v>
                      </c:pt>
                    </c:numCache>
                  </c:numRef>
                </c15:cat>
              </c15:filteredCategoryTitle>
            </c:ext>
            <c:ext xmlns:c16="http://schemas.microsoft.com/office/drawing/2014/chart" uri="{C3380CC4-5D6E-409C-BE32-E72D297353CC}">
              <c16:uniqueId val="{00000000-4DD4-4FDC-9DD2-F9B24BB8EA76}"/>
            </c:ext>
          </c:extLst>
        </c:ser>
        <c:dLbls>
          <c:showLegendKey val="0"/>
          <c:showVal val="0"/>
          <c:showCatName val="0"/>
          <c:showSerName val="0"/>
          <c:showPercent val="0"/>
          <c:showBubbleSize val="0"/>
        </c:dLbls>
        <c:marker val="1"/>
        <c:smooth val="0"/>
        <c:axId val="154100096"/>
        <c:axId val="154101632"/>
      </c:lineChart>
      <c:catAx>
        <c:axId val="154100096"/>
        <c:scaling>
          <c:orientation val="minMax"/>
        </c:scaling>
        <c:delete val="0"/>
        <c:axPos val="b"/>
        <c:numFmt formatCode="General" sourceLinked="1"/>
        <c:majorTickMark val="out"/>
        <c:minorTickMark val="none"/>
        <c:tickLblPos val="nextTo"/>
        <c:crossAx val="154101632"/>
        <c:crosses val="autoZero"/>
        <c:auto val="1"/>
        <c:lblAlgn val="ctr"/>
        <c:lblOffset val="100"/>
        <c:noMultiLvlLbl val="0"/>
      </c:catAx>
      <c:valAx>
        <c:axId val="154101632"/>
        <c:scaling>
          <c:orientation val="minMax"/>
          <c:min val="0"/>
        </c:scaling>
        <c:delete val="0"/>
        <c:axPos val="l"/>
        <c:majorGridlines/>
        <c:numFmt formatCode="0%" sourceLinked="1"/>
        <c:majorTickMark val="out"/>
        <c:minorTickMark val="none"/>
        <c:tickLblPos val="nextTo"/>
        <c:crossAx val="154100096"/>
        <c:crosses val="autoZero"/>
        <c:crossBetween val="between"/>
        <c:majorUnit val="0.1"/>
      </c:valAx>
    </c:plotArea>
    <c:legend>
      <c:legendPos val="r"/>
      <c:overlay val="0"/>
    </c:legend>
    <c:plotVisOnly val="1"/>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42"/>
    </mc:Choice>
    <mc:Fallback>
      <c:style val="42"/>
    </mc:Fallback>
  </mc:AlternateContent>
  <c:chart>
    <c:autoTitleDeleted val="0"/>
    <c:plotArea>
      <c:layout/>
      <c:areaChart>
        <c:grouping val="stacked"/>
        <c:varyColors val="0"/>
        <c:ser>
          <c:idx val="0"/>
          <c:order val="0"/>
          <c:tx>
            <c:strRef>
              <c:f>'Beräkning avskjutning'!$B$201</c:f>
              <c:strCache>
                <c:ptCount val="1"/>
                <c:pt idx="0">
                  <c:v>Tjur</c:v>
                </c:pt>
              </c:strCache>
            </c:strRef>
          </c:tx>
          <c:val>
            <c:numRef>
              <c:f>'Beräkning avskjutning'!$B$202:$B$205</c:f>
              <c:numCache>
                <c:formatCode>0</c:formatCode>
                <c:ptCount val="4"/>
                <c:pt idx="0">
                  <c:v>16.345681693306261</c:v>
                </c:pt>
                <c:pt idx="1">
                  <c:v>21.823937020324994</c:v>
                </c:pt>
                <c:pt idx="2">
                  <c:v>32.410037491890144</c:v>
                </c:pt>
                <c:pt idx="3">
                  <c:v>45.745268322409459</c:v>
                </c:pt>
              </c:numCache>
            </c:numRef>
          </c:val>
          <c:extLst>
            <c:ext xmlns:c15="http://schemas.microsoft.com/office/drawing/2012/chart" uri="{02D57815-91ED-43cb-92C2-25804820EDAC}">
              <c15:filteredCategoryTitle>
                <c15:cat>
                  <c:numRef>
                    <c:extLst>
                      <c:ext uri="{02D57815-91ED-43cb-92C2-25804820EDAC}">
                        <c15:formulaRef>
                          <c15:sqref>'Beräkning avskjutning'!$A$202:$A$205</c15:sqref>
                        </c15:formulaRef>
                      </c:ext>
                    </c:extLst>
                    <c:numCache>
                      <c:formatCode>General</c:formatCode>
                      <c:ptCount val="4"/>
                      <c:pt idx="0">
                        <c:v>2024</c:v>
                      </c:pt>
                      <c:pt idx="1">
                        <c:v>2025</c:v>
                      </c:pt>
                      <c:pt idx="2">
                        <c:v>2026</c:v>
                      </c:pt>
                      <c:pt idx="3">
                        <c:v>2027</c:v>
                      </c:pt>
                    </c:numCache>
                  </c:numRef>
                </c15:cat>
              </c15:filteredCategoryTitle>
            </c:ext>
            <c:ext xmlns:c16="http://schemas.microsoft.com/office/drawing/2014/chart" uri="{C3380CC4-5D6E-409C-BE32-E72D297353CC}">
              <c16:uniqueId val="{00000000-AADF-49E0-8A50-3B02F4D08C10}"/>
            </c:ext>
          </c:extLst>
        </c:ser>
        <c:ser>
          <c:idx val="1"/>
          <c:order val="1"/>
          <c:tx>
            <c:strRef>
              <c:f>'Beräkning avskjutning'!$C$201</c:f>
              <c:strCache>
                <c:ptCount val="1"/>
                <c:pt idx="0">
                  <c:v>Hondjur</c:v>
                </c:pt>
              </c:strCache>
            </c:strRef>
          </c:tx>
          <c:val>
            <c:numRef>
              <c:f>'Beräkning avskjutning'!$C$202:$C$205</c:f>
              <c:numCache>
                <c:formatCode>0</c:formatCode>
                <c:ptCount val="4"/>
                <c:pt idx="0">
                  <c:v>34.05197485524954</c:v>
                </c:pt>
                <c:pt idx="1">
                  <c:v>37.273356717732774</c:v>
                </c:pt>
                <c:pt idx="2">
                  <c:v>45.283091328141751</c:v>
                </c:pt>
                <c:pt idx="3">
                  <c:v>55.900966749042155</c:v>
                </c:pt>
              </c:numCache>
            </c:numRef>
          </c:val>
          <c:extLst>
            <c:ext xmlns:c15="http://schemas.microsoft.com/office/drawing/2012/chart" uri="{02D57815-91ED-43cb-92C2-25804820EDAC}">
              <c15:filteredCategoryTitle>
                <c15:cat>
                  <c:numRef>
                    <c:extLst>
                      <c:ext uri="{02D57815-91ED-43cb-92C2-25804820EDAC}">
                        <c15:formulaRef>
                          <c15:sqref>'Beräkning avskjutning'!$A$202:$A$205</c15:sqref>
                        </c15:formulaRef>
                      </c:ext>
                    </c:extLst>
                    <c:numCache>
                      <c:formatCode>General</c:formatCode>
                      <c:ptCount val="4"/>
                      <c:pt idx="0">
                        <c:v>2024</c:v>
                      </c:pt>
                      <c:pt idx="1">
                        <c:v>2025</c:v>
                      </c:pt>
                      <c:pt idx="2">
                        <c:v>2026</c:v>
                      </c:pt>
                      <c:pt idx="3">
                        <c:v>2027</c:v>
                      </c:pt>
                    </c:numCache>
                  </c:numRef>
                </c15:cat>
              </c15:filteredCategoryTitle>
            </c:ext>
            <c:ext xmlns:c16="http://schemas.microsoft.com/office/drawing/2014/chart" uri="{C3380CC4-5D6E-409C-BE32-E72D297353CC}">
              <c16:uniqueId val="{00000001-AADF-49E0-8A50-3B02F4D08C10}"/>
            </c:ext>
          </c:extLst>
        </c:ser>
        <c:ser>
          <c:idx val="2"/>
          <c:order val="2"/>
          <c:tx>
            <c:strRef>
              <c:f>'Beräkning avskjutning'!$D$201</c:f>
              <c:strCache>
                <c:ptCount val="1"/>
                <c:pt idx="0">
                  <c:v>Kalv</c:v>
                </c:pt>
              </c:strCache>
            </c:strRef>
          </c:tx>
          <c:val>
            <c:numRef>
              <c:f>'Beräkning avskjutning'!$D$202:$D$205</c:f>
              <c:numCache>
                <c:formatCode>0</c:formatCode>
                <c:ptCount val="4"/>
                <c:pt idx="0">
                  <c:v>13.715543451444201</c:v>
                </c:pt>
                <c:pt idx="1">
                  <c:v>23.95972683149644</c:v>
                </c:pt>
                <c:pt idx="2">
                  <c:v>30.060831404220991</c:v>
                </c:pt>
                <c:pt idx="3">
                  <c:v>38.567399065565425</c:v>
                </c:pt>
              </c:numCache>
            </c:numRef>
          </c:val>
          <c:extLst>
            <c:ext xmlns:c15="http://schemas.microsoft.com/office/drawing/2012/chart" uri="{02D57815-91ED-43cb-92C2-25804820EDAC}">
              <c15:filteredCategoryTitle>
                <c15:cat>
                  <c:numRef>
                    <c:extLst>
                      <c:ext uri="{02D57815-91ED-43cb-92C2-25804820EDAC}">
                        <c15:formulaRef>
                          <c15:sqref>'Beräkning avskjutning'!$A$202:$A$205</c15:sqref>
                        </c15:formulaRef>
                      </c:ext>
                    </c:extLst>
                    <c:numCache>
                      <c:formatCode>General</c:formatCode>
                      <c:ptCount val="4"/>
                      <c:pt idx="0">
                        <c:v>2024</c:v>
                      </c:pt>
                      <c:pt idx="1">
                        <c:v>2025</c:v>
                      </c:pt>
                      <c:pt idx="2">
                        <c:v>2026</c:v>
                      </c:pt>
                      <c:pt idx="3">
                        <c:v>2027</c:v>
                      </c:pt>
                    </c:numCache>
                  </c:numRef>
                </c15:cat>
              </c15:filteredCategoryTitle>
            </c:ext>
            <c:ext xmlns:c16="http://schemas.microsoft.com/office/drawing/2014/chart" uri="{C3380CC4-5D6E-409C-BE32-E72D297353CC}">
              <c16:uniqueId val="{00000002-AADF-49E0-8A50-3B02F4D08C10}"/>
            </c:ext>
          </c:extLst>
        </c:ser>
        <c:dLbls>
          <c:showLegendKey val="0"/>
          <c:showVal val="0"/>
          <c:showCatName val="0"/>
          <c:showSerName val="0"/>
          <c:showPercent val="0"/>
          <c:showBubbleSize val="0"/>
        </c:dLbls>
        <c:axId val="154119168"/>
        <c:axId val="154153728"/>
      </c:areaChart>
      <c:catAx>
        <c:axId val="154119168"/>
        <c:scaling>
          <c:orientation val="minMax"/>
        </c:scaling>
        <c:delete val="0"/>
        <c:axPos val="b"/>
        <c:numFmt formatCode="General" sourceLinked="1"/>
        <c:majorTickMark val="out"/>
        <c:minorTickMark val="none"/>
        <c:tickLblPos val="nextTo"/>
        <c:crossAx val="154153728"/>
        <c:crosses val="autoZero"/>
        <c:auto val="1"/>
        <c:lblAlgn val="ctr"/>
        <c:lblOffset val="100"/>
        <c:noMultiLvlLbl val="0"/>
      </c:catAx>
      <c:valAx>
        <c:axId val="154153728"/>
        <c:scaling>
          <c:orientation val="minMax"/>
        </c:scaling>
        <c:delete val="0"/>
        <c:axPos val="l"/>
        <c:majorGridlines/>
        <c:numFmt formatCode="0" sourceLinked="1"/>
        <c:majorTickMark val="out"/>
        <c:minorTickMark val="none"/>
        <c:tickLblPos val="nextTo"/>
        <c:crossAx val="154119168"/>
        <c:crosses val="autoZero"/>
        <c:crossBetween val="midCat"/>
      </c:valAx>
    </c:plotArea>
    <c:legend>
      <c:legendPos val="r"/>
      <c:overlay val="0"/>
    </c:legend>
    <c:plotVisOnly val="1"/>
    <c:dispBlanksAs val="zero"/>
    <c:showDLblsOverMax val="0"/>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600"/>
            </a:pPr>
            <a:r>
              <a:rPr lang="sv-SE" sz="1600"/>
              <a:t>Total avskjutning inom ÄFO på årsbasis</a:t>
            </a:r>
          </a:p>
        </c:rich>
      </c:tx>
      <c:overlay val="0"/>
    </c:title>
    <c:autoTitleDeleted val="0"/>
    <c:plotArea>
      <c:layout/>
      <c:barChart>
        <c:barDir val="col"/>
        <c:grouping val="clustered"/>
        <c:varyColors val="0"/>
        <c:ser>
          <c:idx val="1"/>
          <c:order val="0"/>
          <c:tx>
            <c:strRef>
              <c:f>Skötselplan!$A$86</c:f>
              <c:strCache>
                <c:ptCount val="1"/>
                <c:pt idx="0">
                  <c:v>Tjur</c:v>
                </c:pt>
              </c:strCache>
            </c:strRef>
          </c:tx>
          <c:invertIfNegative val="0"/>
          <c:trendline>
            <c:spPr>
              <a:ln w="19050">
                <a:solidFill>
                  <a:srgbClr val="C0504D"/>
                </a:solidFill>
                <a:prstDash val="dash"/>
              </a:ln>
            </c:spPr>
            <c:trendlineType val="linear"/>
            <c:forward val="0.5"/>
            <c:backward val="0.5"/>
            <c:dispRSqr val="0"/>
            <c:dispEq val="0"/>
          </c:trendline>
          <c:val>
            <c:numRef>
              <c:f>Skötselplan!$B$86:$D$86</c:f>
              <c:numCache>
                <c:formatCode>0</c:formatCode>
                <c:ptCount val="3"/>
                <c:pt idx="0">
                  <c:v>8</c:v>
                </c:pt>
                <c:pt idx="1">
                  <c:v>8</c:v>
                </c:pt>
                <c:pt idx="2">
                  <c:v>6</c:v>
                </c:pt>
              </c:numCache>
            </c:numRef>
          </c:val>
          <c:extLst>
            <c:ext xmlns:c15="http://schemas.microsoft.com/office/drawing/2012/chart" uri="{02D57815-91ED-43cb-92C2-25804820EDAC}">
              <c15:filteredCategoryTitle>
                <c15:cat>
                  <c:numRef>
                    <c:extLst>
                      <c:ext uri="{02D57815-91ED-43cb-92C2-25804820EDAC}">
                        <c15:formulaRef>
                          <c15:sqref>Skötselplan!$B$85:$D$85</c15:sqref>
                        </c15:formulaRef>
                      </c:ext>
                    </c:extLst>
                    <c:numCache>
                      <c:formatCode>General</c:formatCode>
                      <c:ptCount val="3"/>
                      <c:pt idx="0">
                        <c:v>2021</c:v>
                      </c:pt>
                      <c:pt idx="1">
                        <c:v>2022</c:v>
                      </c:pt>
                      <c:pt idx="2">
                        <c:v>2023</c:v>
                      </c:pt>
                    </c:numCache>
                  </c:numRef>
                </c15:cat>
              </c15:filteredCategoryTitle>
            </c:ext>
            <c:ext xmlns:c16="http://schemas.microsoft.com/office/drawing/2014/chart" uri="{C3380CC4-5D6E-409C-BE32-E72D297353CC}">
              <c16:uniqueId val="{00000000-4544-42A4-9274-00FD2C9738C9}"/>
            </c:ext>
          </c:extLst>
        </c:ser>
        <c:ser>
          <c:idx val="2"/>
          <c:order val="1"/>
          <c:tx>
            <c:strRef>
              <c:f>Skötselplan!$A$87</c:f>
              <c:strCache>
                <c:ptCount val="1"/>
                <c:pt idx="0">
                  <c:v>Hondjur</c:v>
                </c:pt>
              </c:strCache>
            </c:strRef>
          </c:tx>
          <c:invertIfNegative val="0"/>
          <c:trendline>
            <c:spPr>
              <a:ln w="19050">
                <a:solidFill>
                  <a:srgbClr val="9BBB59"/>
                </a:solidFill>
                <a:prstDash val="dash"/>
              </a:ln>
            </c:spPr>
            <c:trendlineType val="linear"/>
            <c:forward val="0.5"/>
            <c:backward val="0.5"/>
            <c:dispRSqr val="0"/>
            <c:dispEq val="0"/>
          </c:trendline>
          <c:val>
            <c:numRef>
              <c:f>Skötselplan!$B$87:$D$87</c:f>
              <c:numCache>
                <c:formatCode>0</c:formatCode>
                <c:ptCount val="3"/>
                <c:pt idx="0">
                  <c:v>7</c:v>
                </c:pt>
                <c:pt idx="1">
                  <c:v>6</c:v>
                </c:pt>
                <c:pt idx="2">
                  <c:v>2</c:v>
                </c:pt>
              </c:numCache>
            </c:numRef>
          </c:val>
          <c:extLst>
            <c:ext xmlns:c15="http://schemas.microsoft.com/office/drawing/2012/chart" uri="{02D57815-91ED-43cb-92C2-25804820EDAC}">
              <c15:filteredCategoryTitle>
                <c15:cat>
                  <c:numRef>
                    <c:extLst>
                      <c:ext uri="{02D57815-91ED-43cb-92C2-25804820EDAC}">
                        <c15:formulaRef>
                          <c15:sqref>Skötselplan!$B$85:$D$85</c15:sqref>
                        </c15:formulaRef>
                      </c:ext>
                    </c:extLst>
                    <c:numCache>
                      <c:formatCode>General</c:formatCode>
                      <c:ptCount val="3"/>
                      <c:pt idx="0">
                        <c:v>2021</c:v>
                      </c:pt>
                      <c:pt idx="1">
                        <c:v>2022</c:v>
                      </c:pt>
                      <c:pt idx="2">
                        <c:v>2023</c:v>
                      </c:pt>
                    </c:numCache>
                  </c:numRef>
                </c15:cat>
              </c15:filteredCategoryTitle>
            </c:ext>
            <c:ext xmlns:c16="http://schemas.microsoft.com/office/drawing/2014/chart" uri="{C3380CC4-5D6E-409C-BE32-E72D297353CC}">
              <c16:uniqueId val="{00000001-4544-42A4-9274-00FD2C9738C9}"/>
            </c:ext>
          </c:extLst>
        </c:ser>
        <c:ser>
          <c:idx val="3"/>
          <c:order val="2"/>
          <c:tx>
            <c:strRef>
              <c:f>Skötselplan!$A$88</c:f>
              <c:strCache>
                <c:ptCount val="1"/>
                <c:pt idx="0">
                  <c:v>Kalv</c:v>
                </c:pt>
              </c:strCache>
            </c:strRef>
          </c:tx>
          <c:invertIfNegative val="0"/>
          <c:trendline>
            <c:spPr>
              <a:ln w="19050">
                <a:solidFill>
                  <a:srgbClr val="8064A2">
                    <a:lumMod val="75000"/>
                  </a:srgbClr>
                </a:solidFill>
                <a:prstDash val="dash"/>
              </a:ln>
            </c:spPr>
            <c:trendlineType val="linear"/>
            <c:forward val="0.5"/>
            <c:backward val="0.5"/>
            <c:dispRSqr val="0"/>
            <c:dispEq val="0"/>
          </c:trendline>
          <c:val>
            <c:numRef>
              <c:f>Skötselplan!$B$88:$D$88</c:f>
              <c:numCache>
                <c:formatCode>0</c:formatCode>
                <c:ptCount val="3"/>
                <c:pt idx="0">
                  <c:v>16</c:v>
                </c:pt>
                <c:pt idx="1">
                  <c:v>11</c:v>
                </c:pt>
                <c:pt idx="2">
                  <c:v>5</c:v>
                </c:pt>
              </c:numCache>
            </c:numRef>
          </c:val>
          <c:extLst>
            <c:ext xmlns:c15="http://schemas.microsoft.com/office/drawing/2012/chart" uri="{02D57815-91ED-43cb-92C2-25804820EDAC}">
              <c15:filteredCategoryTitle>
                <c15:cat>
                  <c:numRef>
                    <c:extLst>
                      <c:ext uri="{02D57815-91ED-43cb-92C2-25804820EDAC}">
                        <c15:formulaRef>
                          <c15:sqref>Skötselplan!$B$85:$D$85</c15:sqref>
                        </c15:formulaRef>
                      </c:ext>
                    </c:extLst>
                    <c:numCache>
                      <c:formatCode>General</c:formatCode>
                      <c:ptCount val="3"/>
                      <c:pt idx="0">
                        <c:v>2021</c:v>
                      </c:pt>
                      <c:pt idx="1">
                        <c:v>2022</c:v>
                      </c:pt>
                      <c:pt idx="2">
                        <c:v>2023</c:v>
                      </c:pt>
                    </c:numCache>
                  </c:numRef>
                </c15:cat>
              </c15:filteredCategoryTitle>
            </c:ext>
            <c:ext xmlns:c16="http://schemas.microsoft.com/office/drawing/2014/chart" uri="{C3380CC4-5D6E-409C-BE32-E72D297353CC}">
              <c16:uniqueId val="{00000002-4544-42A4-9274-00FD2C9738C9}"/>
            </c:ext>
          </c:extLst>
        </c:ser>
        <c:ser>
          <c:idx val="4"/>
          <c:order val="3"/>
          <c:tx>
            <c:strRef>
              <c:f>Skötselplan!$A$89</c:f>
              <c:strCache>
                <c:ptCount val="1"/>
                <c:pt idx="0">
                  <c:v>Totalt</c:v>
                </c:pt>
              </c:strCache>
            </c:strRef>
          </c:tx>
          <c:invertIfNegative val="0"/>
          <c:trendline>
            <c:spPr>
              <a:ln w="19050">
                <a:solidFill>
                  <a:srgbClr val="4BACC6">
                    <a:lumMod val="75000"/>
                  </a:srgbClr>
                </a:solidFill>
                <a:prstDash val="dash"/>
              </a:ln>
            </c:spPr>
            <c:trendlineType val="linear"/>
            <c:forward val="0.5"/>
            <c:backward val="0.5"/>
            <c:dispRSqr val="0"/>
            <c:dispEq val="0"/>
          </c:trendline>
          <c:val>
            <c:numRef>
              <c:f>Skötselplan!$B$89:$D$89</c:f>
              <c:numCache>
                <c:formatCode>0</c:formatCode>
                <c:ptCount val="3"/>
                <c:pt idx="0">
                  <c:v>31</c:v>
                </c:pt>
                <c:pt idx="1">
                  <c:v>25</c:v>
                </c:pt>
                <c:pt idx="2">
                  <c:v>13</c:v>
                </c:pt>
              </c:numCache>
            </c:numRef>
          </c:val>
          <c:extLst>
            <c:ext xmlns:c15="http://schemas.microsoft.com/office/drawing/2012/chart" uri="{02D57815-91ED-43cb-92C2-25804820EDAC}">
              <c15:filteredCategoryTitle>
                <c15:cat>
                  <c:numRef>
                    <c:extLst>
                      <c:ext uri="{02D57815-91ED-43cb-92C2-25804820EDAC}">
                        <c15:formulaRef>
                          <c15:sqref>Skötselplan!$B$85:$D$85</c15:sqref>
                        </c15:formulaRef>
                      </c:ext>
                    </c:extLst>
                    <c:numCache>
                      <c:formatCode>General</c:formatCode>
                      <c:ptCount val="3"/>
                      <c:pt idx="0">
                        <c:v>2021</c:v>
                      </c:pt>
                      <c:pt idx="1">
                        <c:v>2022</c:v>
                      </c:pt>
                      <c:pt idx="2">
                        <c:v>2023</c:v>
                      </c:pt>
                    </c:numCache>
                  </c:numRef>
                </c15:cat>
              </c15:filteredCategoryTitle>
            </c:ext>
            <c:ext xmlns:c16="http://schemas.microsoft.com/office/drawing/2014/chart" uri="{C3380CC4-5D6E-409C-BE32-E72D297353CC}">
              <c16:uniqueId val="{00000003-4544-42A4-9274-00FD2C9738C9}"/>
            </c:ext>
          </c:extLst>
        </c:ser>
        <c:dLbls>
          <c:showLegendKey val="0"/>
          <c:showVal val="0"/>
          <c:showCatName val="0"/>
          <c:showSerName val="0"/>
          <c:showPercent val="0"/>
          <c:showBubbleSize val="0"/>
        </c:dLbls>
        <c:gapWidth val="150"/>
        <c:axId val="154247936"/>
        <c:axId val="154249472"/>
      </c:barChart>
      <c:catAx>
        <c:axId val="154247936"/>
        <c:scaling>
          <c:orientation val="minMax"/>
        </c:scaling>
        <c:delete val="0"/>
        <c:axPos val="b"/>
        <c:numFmt formatCode="General" sourceLinked="1"/>
        <c:majorTickMark val="none"/>
        <c:minorTickMark val="none"/>
        <c:tickLblPos val="nextTo"/>
        <c:crossAx val="154249472"/>
        <c:crosses val="autoZero"/>
        <c:auto val="1"/>
        <c:lblAlgn val="ctr"/>
        <c:lblOffset val="100"/>
        <c:noMultiLvlLbl val="0"/>
      </c:catAx>
      <c:valAx>
        <c:axId val="154249472"/>
        <c:scaling>
          <c:orientation val="minMax"/>
        </c:scaling>
        <c:delete val="0"/>
        <c:axPos val="l"/>
        <c:majorGridlines/>
        <c:title>
          <c:tx>
            <c:rich>
              <a:bodyPr/>
              <a:lstStyle/>
              <a:p>
                <a:pPr>
                  <a:defRPr/>
                </a:pPr>
                <a:r>
                  <a:rPr lang="sv-SE"/>
                  <a:t>Antal fällda älgar</a:t>
                </a:r>
              </a:p>
            </c:rich>
          </c:tx>
          <c:overlay val="0"/>
        </c:title>
        <c:numFmt formatCode="0" sourceLinked="1"/>
        <c:majorTickMark val="none"/>
        <c:minorTickMark val="none"/>
        <c:tickLblPos val="nextTo"/>
        <c:crossAx val="154247936"/>
        <c:crosses val="autoZero"/>
        <c:crossBetween val="between"/>
      </c:valAx>
      <c:dTable>
        <c:showHorzBorder val="1"/>
        <c:showVertBorder val="1"/>
        <c:showOutline val="1"/>
        <c:showKeys val="1"/>
      </c:dTable>
    </c:plotArea>
    <c:plotVisOnly val="1"/>
    <c:dispBlanksAs val="gap"/>
    <c:showDLblsOverMax val="0"/>
  </c:chart>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pPr>
            <a:r>
              <a:rPr lang="en-US" sz="1600"/>
              <a:t>Avskjutning totalt per 1000 ha</a:t>
            </a:r>
          </a:p>
        </c:rich>
      </c:tx>
      <c:overlay val="0"/>
    </c:title>
    <c:autoTitleDeleted val="0"/>
    <c:plotArea>
      <c:layout/>
      <c:barChart>
        <c:barDir val="col"/>
        <c:grouping val="clustered"/>
        <c:varyColors val="0"/>
        <c:ser>
          <c:idx val="5"/>
          <c:order val="0"/>
          <c:tx>
            <c:strRef>
              <c:f>Skötselplan!$A$90</c:f>
              <c:strCache>
                <c:ptCount val="1"/>
                <c:pt idx="0">
                  <c:v>Totalt per 1000 ha</c:v>
                </c:pt>
              </c:strCache>
            </c:strRef>
          </c:tx>
          <c:invertIfNegative val="0"/>
          <c:trendline>
            <c:spPr>
              <a:ln w="19050">
                <a:solidFill>
                  <a:schemeClr val="accent6"/>
                </a:solidFill>
                <a:prstDash val="dash"/>
              </a:ln>
            </c:spPr>
            <c:trendlineType val="linear"/>
            <c:forward val="0.5"/>
            <c:backward val="0.5"/>
            <c:dispRSqr val="0"/>
            <c:dispEq val="0"/>
          </c:trendline>
          <c:val>
            <c:numRef>
              <c:f>Skötselplan!$B$90:$D$90</c:f>
              <c:numCache>
                <c:formatCode>0.0</c:formatCode>
                <c:ptCount val="3"/>
                <c:pt idx="0">
                  <c:v>2.8044146915143839</c:v>
                </c:pt>
                <c:pt idx="1">
                  <c:v>2.2616247512212775</c:v>
                </c:pt>
                <c:pt idx="2">
                  <c:v>1.1760448706350644</c:v>
                </c:pt>
              </c:numCache>
            </c:numRef>
          </c:val>
          <c:extLst>
            <c:ext xmlns:c15="http://schemas.microsoft.com/office/drawing/2012/chart" uri="{02D57815-91ED-43cb-92C2-25804820EDAC}">
              <c15:filteredCategoryTitle>
                <c15:cat>
                  <c:numRef>
                    <c:extLst>
                      <c:ext uri="{02D57815-91ED-43cb-92C2-25804820EDAC}">
                        <c15:formulaRef>
                          <c15:sqref>Skötselplan!$B$85:$D$85</c15:sqref>
                        </c15:formulaRef>
                      </c:ext>
                    </c:extLst>
                    <c:numCache>
                      <c:formatCode>General</c:formatCode>
                      <c:ptCount val="3"/>
                      <c:pt idx="0">
                        <c:v>2021</c:v>
                      </c:pt>
                      <c:pt idx="1">
                        <c:v>2022</c:v>
                      </c:pt>
                      <c:pt idx="2">
                        <c:v>2023</c:v>
                      </c:pt>
                    </c:numCache>
                  </c:numRef>
                </c15:cat>
              </c15:filteredCategoryTitle>
            </c:ext>
            <c:ext xmlns:c16="http://schemas.microsoft.com/office/drawing/2014/chart" uri="{C3380CC4-5D6E-409C-BE32-E72D297353CC}">
              <c16:uniqueId val="{00000000-085A-4259-BD20-2F807A99F5E5}"/>
            </c:ext>
          </c:extLst>
        </c:ser>
        <c:dLbls>
          <c:showLegendKey val="0"/>
          <c:showVal val="0"/>
          <c:showCatName val="0"/>
          <c:showSerName val="0"/>
          <c:showPercent val="0"/>
          <c:showBubbleSize val="0"/>
        </c:dLbls>
        <c:gapWidth val="150"/>
        <c:axId val="154292992"/>
        <c:axId val="154294528"/>
      </c:barChart>
      <c:catAx>
        <c:axId val="154292992"/>
        <c:scaling>
          <c:orientation val="minMax"/>
        </c:scaling>
        <c:delete val="0"/>
        <c:axPos val="b"/>
        <c:numFmt formatCode="General" sourceLinked="1"/>
        <c:majorTickMark val="out"/>
        <c:minorTickMark val="none"/>
        <c:tickLblPos val="nextTo"/>
        <c:crossAx val="154294528"/>
        <c:crosses val="autoZero"/>
        <c:auto val="1"/>
        <c:lblAlgn val="ctr"/>
        <c:lblOffset val="100"/>
        <c:noMultiLvlLbl val="0"/>
      </c:catAx>
      <c:valAx>
        <c:axId val="154294528"/>
        <c:scaling>
          <c:orientation val="minMax"/>
          <c:min val="0"/>
        </c:scaling>
        <c:delete val="0"/>
        <c:axPos val="l"/>
        <c:majorGridlines/>
        <c:numFmt formatCode="0.0" sourceLinked="1"/>
        <c:majorTickMark val="out"/>
        <c:minorTickMark val="none"/>
        <c:tickLblPos val="nextTo"/>
        <c:crossAx val="154292992"/>
        <c:crosses val="autoZero"/>
        <c:crossBetween val="between"/>
      </c:valAx>
      <c:dTable>
        <c:showHorzBorder val="1"/>
        <c:showVertBorder val="1"/>
        <c:showOutline val="1"/>
        <c:showKeys val="0"/>
      </c:dTable>
    </c:plotArea>
    <c:plotVisOnly val="1"/>
    <c:dispBlanksAs val="gap"/>
    <c:showDLblsOverMax val="0"/>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600"/>
              <a:t>Avskjutning totalt per 1000 ha ungskog</a:t>
            </a:r>
          </a:p>
        </c:rich>
      </c:tx>
      <c:overlay val="0"/>
    </c:title>
    <c:autoTitleDeleted val="0"/>
    <c:plotArea>
      <c:layout/>
      <c:barChart>
        <c:barDir val="col"/>
        <c:grouping val="clustered"/>
        <c:varyColors val="0"/>
        <c:ser>
          <c:idx val="0"/>
          <c:order val="0"/>
          <c:invertIfNegative val="0"/>
          <c:trendline>
            <c:spPr>
              <a:ln w="19050">
                <a:solidFill>
                  <a:schemeClr val="accent1"/>
                </a:solidFill>
                <a:prstDash val="dash"/>
              </a:ln>
            </c:spPr>
            <c:trendlineType val="linear"/>
            <c:forward val="0.5"/>
            <c:backward val="0.5"/>
            <c:dispRSqr val="0"/>
            <c:dispEq val="0"/>
          </c:trendline>
          <c:val>
            <c:numRef>
              <c:f>Plan!#REF!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Plan!#REF!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Skötselplan!$B$85:$D$85</c15:sqref>
                        </c15:formulaRef>
                      </c:ext>
                    </c:extLst>
                    <c:numCache>
                      <c:formatCode>General</c:formatCode>
                      <c:ptCount val="3"/>
                      <c:pt idx="0">
                        <c:v>2021</c:v>
                      </c:pt>
                      <c:pt idx="1">
                        <c:v>2022</c:v>
                      </c:pt>
                      <c:pt idx="2">
                        <c:v>2023</c:v>
                      </c:pt>
                    </c:numCache>
                  </c:numRef>
                </c15:cat>
              </c15:filteredCategoryTitle>
            </c:ext>
            <c:ext xmlns:c16="http://schemas.microsoft.com/office/drawing/2014/chart" uri="{C3380CC4-5D6E-409C-BE32-E72D297353CC}">
              <c16:uniqueId val="{00000000-7B84-466C-A221-E33900C0C081}"/>
            </c:ext>
          </c:extLst>
        </c:ser>
        <c:dLbls>
          <c:showLegendKey val="0"/>
          <c:showVal val="0"/>
          <c:showCatName val="0"/>
          <c:showSerName val="0"/>
          <c:showPercent val="0"/>
          <c:showBubbleSize val="0"/>
        </c:dLbls>
        <c:gapWidth val="150"/>
        <c:axId val="154321280"/>
        <c:axId val="154322816"/>
      </c:barChart>
      <c:catAx>
        <c:axId val="154321280"/>
        <c:scaling>
          <c:orientation val="minMax"/>
        </c:scaling>
        <c:delete val="0"/>
        <c:axPos val="b"/>
        <c:numFmt formatCode="General" sourceLinked="1"/>
        <c:majorTickMark val="out"/>
        <c:minorTickMark val="none"/>
        <c:tickLblPos val="nextTo"/>
        <c:crossAx val="154322816"/>
        <c:crosses val="autoZero"/>
        <c:auto val="1"/>
        <c:lblAlgn val="ctr"/>
        <c:lblOffset val="100"/>
        <c:noMultiLvlLbl val="0"/>
      </c:catAx>
      <c:valAx>
        <c:axId val="154322816"/>
        <c:scaling>
          <c:orientation val="minMax"/>
        </c:scaling>
        <c:delete val="0"/>
        <c:axPos val="l"/>
        <c:majorGridlines/>
        <c:numFmt formatCode="General" sourceLinked="1"/>
        <c:majorTickMark val="out"/>
        <c:minorTickMark val="none"/>
        <c:tickLblPos val="nextTo"/>
        <c:crossAx val="154321280"/>
        <c:crosses val="autoZero"/>
        <c:crossBetween val="between"/>
      </c:valAx>
      <c:dTable>
        <c:showHorzBorder val="1"/>
        <c:showVertBorder val="1"/>
        <c:showOutline val="1"/>
        <c:showKeys val="0"/>
      </c:dTable>
    </c:plotArea>
    <c:plotVisOnly val="1"/>
    <c:dispBlanksAs val="gap"/>
    <c:showDLblsOverMax val="0"/>
  </c:chart>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600"/>
            </a:pPr>
            <a:r>
              <a:rPr lang="sv-SE" sz="1600"/>
              <a:t>Avskjutningsplan inom ÄFO för</a:t>
            </a:r>
            <a:r>
              <a:rPr lang="sv-SE" sz="1600" baseline="0"/>
              <a:t> planperioden</a:t>
            </a:r>
            <a:endParaRPr lang="sv-SE" sz="1600"/>
          </a:p>
        </c:rich>
      </c:tx>
      <c:overlay val="0"/>
    </c:title>
    <c:autoTitleDeleted val="0"/>
    <c:plotArea>
      <c:layout/>
      <c:barChart>
        <c:barDir val="col"/>
        <c:grouping val="clustered"/>
        <c:varyColors val="0"/>
        <c:ser>
          <c:idx val="2"/>
          <c:order val="0"/>
          <c:tx>
            <c:strRef>
              <c:f>Skötselplan!$A$329</c:f>
              <c:strCache>
                <c:ptCount val="1"/>
                <c:pt idx="0">
                  <c:v>Tjur</c:v>
                </c:pt>
              </c:strCache>
            </c:strRef>
          </c:tx>
          <c:spPr>
            <a:solidFill>
              <a:srgbClr val="C00000"/>
            </a:solidFill>
          </c:spPr>
          <c:invertIfNegative val="0"/>
          <c:trendline>
            <c:spPr>
              <a:ln w="19050">
                <a:solidFill>
                  <a:srgbClr val="C00000"/>
                </a:solidFill>
                <a:prstDash val="dash"/>
              </a:ln>
            </c:spPr>
            <c:trendlineType val="linear"/>
            <c:forward val="0.5"/>
            <c:backward val="0.5"/>
            <c:dispRSqr val="0"/>
            <c:dispEq val="1"/>
            <c:trendlineLbl>
              <c:numFmt formatCode="General" sourceLinked="0"/>
            </c:trendlineLbl>
          </c:trendline>
          <c:val>
            <c:numRef>
              <c:f>Skötselplan!$B$329:$D$329</c:f>
              <c:numCache>
                <c:formatCode>0</c:formatCode>
                <c:ptCount val="3"/>
                <c:pt idx="0">
                  <c:v>1</c:v>
                </c:pt>
                <c:pt idx="1">
                  <c:v>1</c:v>
                </c:pt>
                <c:pt idx="2">
                  <c:v>1</c:v>
                </c:pt>
              </c:numCache>
            </c:numRef>
          </c:val>
          <c:extLst>
            <c:ext xmlns:c15="http://schemas.microsoft.com/office/drawing/2012/chart" uri="{02D57815-91ED-43cb-92C2-25804820EDAC}">
              <c15:filteredCategoryTitle>
                <c15:cat>
                  <c:numRef>
                    <c:extLst>
                      <c:ext uri="{02D57815-91ED-43cb-92C2-25804820EDAC}">
                        <c15:formulaRef>
                          <c15:sqref>Skötselplan!$B$328:$D$328</c15:sqref>
                        </c15:formulaRef>
                      </c:ext>
                    </c:extLst>
                    <c:numCache>
                      <c:formatCode>General</c:formatCode>
                      <c:ptCount val="3"/>
                      <c:pt idx="0">
                        <c:v>2024</c:v>
                      </c:pt>
                      <c:pt idx="1">
                        <c:v>2025</c:v>
                      </c:pt>
                      <c:pt idx="2">
                        <c:v>2026</c:v>
                      </c:pt>
                    </c:numCache>
                  </c:numRef>
                </c15:cat>
              </c15:filteredCategoryTitle>
            </c:ext>
            <c:ext xmlns:c16="http://schemas.microsoft.com/office/drawing/2014/chart" uri="{C3380CC4-5D6E-409C-BE32-E72D297353CC}">
              <c16:uniqueId val="{00000000-FBD3-45FE-9692-E7676E56C4F6}"/>
            </c:ext>
          </c:extLst>
        </c:ser>
        <c:ser>
          <c:idx val="3"/>
          <c:order val="1"/>
          <c:tx>
            <c:strRef>
              <c:f>Skötselplan!$A$330</c:f>
              <c:strCache>
                <c:ptCount val="1"/>
                <c:pt idx="0">
                  <c:v>Hondjur</c:v>
                </c:pt>
              </c:strCache>
            </c:strRef>
          </c:tx>
          <c:spPr>
            <a:solidFill>
              <a:srgbClr val="9BBB59"/>
            </a:solidFill>
          </c:spPr>
          <c:invertIfNegative val="0"/>
          <c:trendline>
            <c:spPr>
              <a:ln w="19050">
                <a:solidFill>
                  <a:srgbClr val="92D050"/>
                </a:solidFill>
                <a:prstDash val="dash"/>
              </a:ln>
            </c:spPr>
            <c:trendlineType val="linear"/>
            <c:forward val="0.5"/>
            <c:backward val="0.5"/>
            <c:dispRSqr val="0"/>
            <c:dispEq val="1"/>
            <c:trendlineLbl>
              <c:numFmt formatCode="General" sourceLinked="0"/>
            </c:trendlineLbl>
          </c:trendline>
          <c:val>
            <c:numRef>
              <c:f>Skötselplan!$B$330:$D$330</c:f>
              <c:numCache>
                <c:formatCode>0</c:formatCode>
                <c:ptCount val="3"/>
                <c:pt idx="0">
                  <c:v>2</c:v>
                </c:pt>
                <c:pt idx="1">
                  <c:v>2</c:v>
                </c:pt>
                <c:pt idx="2">
                  <c:v>2</c:v>
                </c:pt>
              </c:numCache>
            </c:numRef>
          </c:val>
          <c:extLst>
            <c:ext xmlns:c15="http://schemas.microsoft.com/office/drawing/2012/chart" uri="{02D57815-91ED-43cb-92C2-25804820EDAC}">
              <c15:filteredCategoryTitle>
                <c15:cat>
                  <c:numRef>
                    <c:extLst>
                      <c:ext uri="{02D57815-91ED-43cb-92C2-25804820EDAC}">
                        <c15:formulaRef>
                          <c15:sqref>Skötselplan!$B$328:$D$328</c15:sqref>
                        </c15:formulaRef>
                      </c:ext>
                    </c:extLst>
                    <c:numCache>
                      <c:formatCode>General</c:formatCode>
                      <c:ptCount val="3"/>
                      <c:pt idx="0">
                        <c:v>2024</c:v>
                      </c:pt>
                      <c:pt idx="1">
                        <c:v>2025</c:v>
                      </c:pt>
                      <c:pt idx="2">
                        <c:v>2026</c:v>
                      </c:pt>
                    </c:numCache>
                  </c:numRef>
                </c15:cat>
              </c15:filteredCategoryTitle>
            </c:ext>
            <c:ext xmlns:c16="http://schemas.microsoft.com/office/drawing/2014/chart" uri="{C3380CC4-5D6E-409C-BE32-E72D297353CC}">
              <c16:uniqueId val="{00000001-FBD3-45FE-9692-E7676E56C4F6}"/>
            </c:ext>
          </c:extLst>
        </c:ser>
        <c:ser>
          <c:idx val="4"/>
          <c:order val="2"/>
          <c:tx>
            <c:strRef>
              <c:f>Skötselplan!$A$331</c:f>
              <c:strCache>
                <c:ptCount val="1"/>
                <c:pt idx="0">
                  <c:v>Kalv</c:v>
                </c:pt>
              </c:strCache>
            </c:strRef>
          </c:tx>
          <c:spPr>
            <a:solidFill>
              <a:srgbClr val="7030A0"/>
            </a:solidFill>
          </c:spPr>
          <c:invertIfNegative val="0"/>
          <c:trendline>
            <c:spPr>
              <a:ln w="19050">
                <a:solidFill>
                  <a:srgbClr val="7030A0"/>
                </a:solidFill>
                <a:prstDash val="dash"/>
              </a:ln>
            </c:spPr>
            <c:trendlineType val="linear"/>
            <c:forward val="0.5"/>
            <c:backward val="0.5"/>
            <c:dispRSqr val="0"/>
            <c:dispEq val="1"/>
            <c:trendlineLbl>
              <c:numFmt formatCode="General" sourceLinked="0"/>
            </c:trendlineLbl>
          </c:trendline>
          <c:val>
            <c:numRef>
              <c:f>Skötselplan!$B$331:$D$331</c:f>
              <c:numCache>
                <c:formatCode>0</c:formatCode>
                <c:ptCount val="3"/>
                <c:pt idx="0">
                  <c:v>8</c:v>
                </c:pt>
                <c:pt idx="1">
                  <c:v>8</c:v>
                </c:pt>
                <c:pt idx="2">
                  <c:v>8</c:v>
                </c:pt>
              </c:numCache>
            </c:numRef>
          </c:val>
          <c:extLst>
            <c:ext xmlns:c15="http://schemas.microsoft.com/office/drawing/2012/chart" uri="{02D57815-91ED-43cb-92C2-25804820EDAC}">
              <c15:filteredCategoryTitle>
                <c15:cat>
                  <c:numRef>
                    <c:extLst>
                      <c:ext uri="{02D57815-91ED-43cb-92C2-25804820EDAC}">
                        <c15:formulaRef>
                          <c15:sqref>Skötselplan!$B$328:$D$328</c15:sqref>
                        </c15:formulaRef>
                      </c:ext>
                    </c:extLst>
                    <c:numCache>
                      <c:formatCode>General</c:formatCode>
                      <c:ptCount val="3"/>
                      <c:pt idx="0">
                        <c:v>2024</c:v>
                      </c:pt>
                      <c:pt idx="1">
                        <c:v>2025</c:v>
                      </c:pt>
                      <c:pt idx="2">
                        <c:v>2026</c:v>
                      </c:pt>
                    </c:numCache>
                  </c:numRef>
                </c15:cat>
              </c15:filteredCategoryTitle>
            </c:ext>
            <c:ext xmlns:c16="http://schemas.microsoft.com/office/drawing/2014/chart" uri="{C3380CC4-5D6E-409C-BE32-E72D297353CC}">
              <c16:uniqueId val="{00000002-FBD3-45FE-9692-E7676E56C4F6}"/>
            </c:ext>
          </c:extLst>
        </c:ser>
        <c:ser>
          <c:idx val="0"/>
          <c:order val="3"/>
          <c:tx>
            <c:strRef>
              <c:f>Skötselplan!$A$332</c:f>
              <c:strCache>
                <c:ptCount val="1"/>
                <c:pt idx="0">
                  <c:v>Antal älgar totalt</c:v>
                </c:pt>
              </c:strCache>
            </c:strRef>
          </c:tx>
          <c:invertIfNegative val="0"/>
          <c:trendline>
            <c:spPr>
              <a:ln w="19050">
                <a:solidFill>
                  <a:srgbClr val="4BACC6"/>
                </a:solidFill>
                <a:prstDash val="dash"/>
              </a:ln>
            </c:spPr>
            <c:trendlineType val="linear"/>
            <c:forward val="0.5"/>
            <c:backward val="0.5"/>
            <c:dispRSqr val="0"/>
            <c:dispEq val="0"/>
          </c:trendline>
          <c:val>
            <c:numRef>
              <c:f>Skötselplan!$B$332:$D$332</c:f>
              <c:numCache>
                <c:formatCode>0</c:formatCode>
                <c:ptCount val="3"/>
                <c:pt idx="0">
                  <c:v>11</c:v>
                </c:pt>
                <c:pt idx="1">
                  <c:v>11</c:v>
                </c:pt>
                <c:pt idx="2">
                  <c:v>11</c:v>
                </c:pt>
              </c:numCache>
            </c:numRef>
          </c:val>
          <c:extLst>
            <c:ext xmlns:c15="http://schemas.microsoft.com/office/drawing/2012/chart" uri="{02D57815-91ED-43cb-92C2-25804820EDAC}">
              <c15:filteredCategoryTitle>
                <c15:cat>
                  <c:numRef>
                    <c:extLst>
                      <c:ext uri="{02D57815-91ED-43cb-92C2-25804820EDAC}">
                        <c15:formulaRef>
                          <c15:sqref>Skötselplan!$B$328:$D$328</c15:sqref>
                        </c15:formulaRef>
                      </c:ext>
                    </c:extLst>
                    <c:numCache>
                      <c:formatCode>General</c:formatCode>
                      <c:ptCount val="3"/>
                      <c:pt idx="0">
                        <c:v>2024</c:v>
                      </c:pt>
                      <c:pt idx="1">
                        <c:v>2025</c:v>
                      </c:pt>
                      <c:pt idx="2">
                        <c:v>2026</c:v>
                      </c:pt>
                    </c:numCache>
                  </c:numRef>
                </c15:cat>
              </c15:filteredCategoryTitle>
            </c:ext>
            <c:ext xmlns:c16="http://schemas.microsoft.com/office/drawing/2014/chart" uri="{C3380CC4-5D6E-409C-BE32-E72D297353CC}">
              <c16:uniqueId val="{00000003-FBD3-45FE-9692-E7676E56C4F6}"/>
            </c:ext>
          </c:extLst>
        </c:ser>
        <c:dLbls>
          <c:showLegendKey val="0"/>
          <c:showVal val="0"/>
          <c:showCatName val="0"/>
          <c:showSerName val="0"/>
          <c:showPercent val="0"/>
          <c:showBubbleSize val="0"/>
        </c:dLbls>
        <c:gapWidth val="150"/>
        <c:axId val="154542848"/>
        <c:axId val="154544384"/>
      </c:barChart>
      <c:catAx>
        <c:axId val="154542848"/>
        <c:scaling>
          <c:orientation val="minMax"/>
        </c:scaling>
        <c:delete val="0"/>
        <c:axPos val="b"/>
        <c:numFmt formatCode="General" sourceLinked="1"/>
        <c:majorTickMark val="none"/>
        <c:minorTickMark val="none"/>
        <c:tickLblPos val="nextTo"/>
        <c:crossAx val="154544384"/>
        <c:crosses val="autoZero"/>
        <c:auto val="1"/>
        <c:lblAlgn val="ctr"/>
        <c:lblOffset val="100"/>
        <c:noMultiLvlLbl val="0"/>
      </c:catAx>
      <c:valAx>
        <c:axId val="154544384"/>
        <c:scaling>
          <c:orientation val="minMax"/>
        </c:scaling>
        <c:delete val="0"/>
        <c:axPos val="l"/>
        <c:majorGridlines/>
        <c:title>
          <c:tx>
            <c:rich>
              <a:bodyPr/>
              <a:lstStyle/>
              <a:p>
                <a:pPr>
                  <a:defRPr/>
                </a:pPr>
                <a:r>
                  <a:rPr lang="sv-SE"/>
                  <a:t>Antal fällda älgar</a:t>
                </a:r>
              </a:p>
            </c:rich>
          </c:tx>
          <c:overlay val="0"/>
        </c:title>
        <c:numFmt formatCode="0" sourceLinked="1"/>
        <c:majorTickMark val="none"/>
        <c:minorTickMark val="none"/>
        <c:tickLblPos val="nextTo"/>
        <c:crossAx val="154542848"/>
        <c:crosses val="autoZero"/>
        <c:crossBetween val="between"/>
      </c:valAx>
      <c:dTable>
        <c:showHorzBorder val="1"/>
        <c:showVertBorder val="1"/>
        <c:showOutline val="1"/>
        <c:showKeys val="1"/>
      </c:dTable>
    </c:plotArea>
    <c:plotVisOnly val="1"/>
    <c:dispBlanksAs val="gap"/>
    <c:showDLblsOverMax val="0"/>
  </c:chart>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pPr>
            <a:r>
              <a:rPr lang="en-US" sz="1600"/>
              <a:t>Avskjutningsplan totalt per 1000 ha</a:t>
            </a:r>
          </a:p>
        </c:rich>
      </c:tx>
      <c:overlay val="0"/>
    </c:title>
    <c:autoTitleDeleted val="0"/>
    <c:plotArea>
      <c:layout/>
      <c:barChart>
        <c:barDir val="col"/>
        <c:grouping val="clustered"/>
        <c:varyColors val="0"/>
        <c:ser>
          <c:idx val="5"/>
          <c:order val="0"/>
          <c:tx>
            <c:strRef>
              <c:f>Skötselplan!$A$336</c:f>
              <c:strCache>
                <c:ptCount val="1"/>
                <c:pt idx="0">
                  <c:v>Totalt per 1000 ha</c:v>
                </c:pt>
              </c:strCache>
            </c:strRef>
          </c:tx>
          <c:invertIfNegative val="0"/>
          <c:trendline>
            <c:spPr>
              <a:ln w="19050">
                <a:solidFill>
                  <a:schemeClr val="accent6"/>
                </a:solidFill>
                <a:prstDash val="dash"/>
              </a:ln>
            </c:spPr>
            <c:trendlineType val="linear"/>
            <c:forward val="0.5"/>
            <c:backward val="0.5"/>
            <c:dispRSqr val="0"/>
            <c:dispEq val="0"/>
          </c:trendline>
          <c:val>
            <c:numRef>
              <c:f>Skötselplan!$B$336:$D$336</c:f>
              <c:numCache>
                <c:formatCode>0.0</c:formatCode>
                <c:ptCount val="3"/>
                <c:pt idx="0">
                  <c:v>0.96626844694307801</c:v>
                </c:pt>
                <c:pt idx="1">
                  <c:v>0.96626844694307801</c:v>
                </c:pt>
                <c:pt idx="2">
                  <c:v>0.96626844694307801</c:v>
                </c:pt>
              </c:numCache>
            </c:numRef>
          </c:val>
          <c:extLst>
            <c:ext xmlns:c15="http://schemas.microsoft.com/office/drawing/2012/chart" uri="{02D57815-91ED-43cb-92C2-25804820EDAC}">
              <c15:filteredCategoryTitle>
                <c15:cat>
                  <c:numRef>
                    <c:extLst>
                      <c:ext uri="{02D57815-91ED-43cb-92C2-25804820EDAC}">
                        <c15:formulaRef>
                          <c15:sqref>Skötselplan!$B$328:$D$328</c15:sqref>
                        </c15:formulaRef>
                      </c:ext>
                    </c:extLst>
                    <c:numCache>
                      <c:formatCode>General</c:formatCode>
                      <c:ptCount val="3"/>
                      <c:pt idx="0">
                        <c:v>2024</c:v>
                      </c:pt>
                      <c:pt idx="1">
                        <c:v>2025</c:v>
                      </c:pt>
                      <c:pt idx="2">
                        <c:v>2026</c:v>
                      </c:pt>
                    </c:numCache>
                  </c:numRef>
                </c15:cat>
              </c15:filteredCategoryTitle>
            </c:ext>
            <c:ext xmlns:c16="http://schemas.microsoft.com/office/drawing/2014/chart" uri="{C3380CC4-5D6E-409C-BE32-E72D297353CC}">
              <c16:uniqueId val="{00000000-E45D-4805-926A-7690F282D3DD}"/>
            </c:ext>
          </c:extLst>
        </c:ser>
        <c:dLbls>
          <c:showLegendKey val="0"/>
          <c:showVal val="0"/>
          <c:showCatName val="0"/>
          <c:showSerName val="0"/>
          <c:showPercent val="0"/>
          <c:showBubbleSize val="0"/>
        </c:dLbls>
        <c:gapWidth val="150"/>
        <c:axId val="154579712"/>
        <c:axId val="154581248"/>
      </c:barChart>
      <c:catAx>
        <c:axId val="154579712"/>
        <c:scaling>
          <c:orientation val="minMax"/>
        </c:scaling>
        <c:delete val="0"/>
        <c:axPos val="b"/>
        <c:numFmt formatCode="General" sourceLinked="1"/>
        <c:majorTickMark val="out"/>
        <c:minorTickMark val="none"/>
        <c:tickLblPos val="nextTo"/>
        <c:crossAx val="154581248"/>
        <c:crosses val="autoZero"/>
        <c:auto val="1"/>
        <c:lblAlgn val="ctr"/>
        <c:lblOffset val="100"/>
        <c:noMultiLvlLbl val="0"/>
      </c:catAx>
      <c:valAx>
        <c:axId val="154581248"/>
        <c:scaling>
          <c:orientation val="minMax"/>
        </c:scaling>
        <c:delete val="0"/>
        <c:axPos val="l"/>
        <c:majorGridlines/>
        <c:numFmt formatCode="0.0" sourceLinked="1"/>
        <c:majorTickMark val="out"/>
        <c:minorTickMark val="none"/>
        <c:tickLblPos val="nextTo"/>
        <c:crossAx val="154579712"/>
        <c:crosses val="autoZero"/>
        <c:crossBetween val="between"/>
      </c:valAx>
      <c:dTable>
        <c:showHorzBorder val="1"/>
        <c:showVertBorder val="1"/>
        <c:showOutline val="1"/>
        <c:showKeys val="0"/>
      </c:dTable>
    </c:plotArea>
    <c:plotVisOnly val="1"/>
    <c:dispBlanksAs val="gap"/>
    <c:showDLblsOverMax val="0"/>
  </c:chart>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sv-SE"/>
              <a:t>Älgobservationer</a:t>
            </a:r>
            <a:r>
              <a:rPr lang="sv-SE" baseline="0"/>
              <a:t> (älgobs)</a:t>
            </a:r>
          </a:p>
        </c:rich>
      </c:tx>
      <c:overlay val="0"/>
    </c:title>
    <c:autoTitleDeleted val="0"/>
    <c:plotArea>
      <c:layout>
        <c:manualLayout>
          <c:layoutTarget val="inner"/>
          <c:xMode val="edge"/>
          <c:yMode val="edge"/>
          <c:x val="0.19615970558028073"/>
          <c:y val="0.12495191998550292"/>
          <c:w val="0.63886597055802807"/>
          <c:h val="0.67573669104279555"/>
        </c:manualLayout>
      </c:layout>
      <c:lineChart>
        <c:grouping val="standard"/>
        <c:varyColors val="0"/>
        <c:ser>
          <c:idx val="0"/>
          <c:order val="0"/>
          <c:tx>
            <c:strRef>
              <c:f>Skötselplan!$A$104</c:f>
              <c:strCache>
                <c:ptCount val="1"/>
                <c:pt idx="0">
                  <c:v>Observationer per mantimme</c:v>
                </c:pt>
              </c:strCache>
            </c:strRef>
          </c:tx>
          <c:val>
            <c:numRef>
              <c:f>Skötselplan!$B$104:$E$104</c:f>
              <c:numCache>
                <c:formatCode>0.000</c:formatCode>
                <c:ptCount val="4"/>
                <c:pt idx="0">
                  <c:v>7.2900000000000006E-2</c:v>
                </c:pt>
                <c:pt idx="1">
                  <c:v>8.0399999999999999E-2</c:v>
                </c:pt>
                <c:pt idx="2">
                  <c:v>6.9099999999999995E-2</c:v>
                </c:pt>
                <c:pt idx="3">
                  <c:v>6.4299999999999996E-2</c:v>
                </c:pt>
              </c:numCache>
            </c:numRef>
          </c:val>
          <c:smooth val="0"/>
          <c:extLst>
            <c:ext xmlns:c15="http://schemas.microsoft.com/office/drawing/2012/chart" uri="{02D57815-91ED-43cb-92C2-25804820EDAC}">
              <c15:filteredCategoryTitle>
                <c15:cat>
                  <c:numRef>
                    <c:extLst>
                      <c:ext uri="{02D57815-91ED-43cb-92C2-25804820EDAC}">
                        <c15:formulaRef>
                          <c15:sqref>Skötselplan!$B$102:$E$102</c15:sqref>
                        </c15:formulaRef>
                      </c:ext>
                    </c:extLst>
                    <c:numCache>
                      <c:formatCode>General</c:formatCode>
                      <c:ptCount val="4"/>
                      <c:pt idx="0">
                        <c:v>2020</c:v>
                      </c:pt>
                      <c:pt idx="1">
                        <c:v>2021</c:v>
                      </c:pt>
                      <c:pt idx="2">
                        <c:v>2022</c:v>
                      </c:pt>
                      <c:pt idx="3">
                        <c:v>2023</c:v>
                      </c:pt>
                    </c:numCache>
                  </c:numRef>
                </c15:cat>
              </c15:filteredCategoryTitle>
            </c:ext>
            <c:ext xmlns:c16="http://schemas.microsoft.com/office/drawing/2014/chart" uri="{C3380CC4-5D6E-409C-BE32-E72D297353CC}">
              <c16:uniqueId val="{00000000-37B2-47F2-B696-9E92C4515759}"/>
            </c:ext>
          </c:extLst>
        </c:ser>
        <c:dLbls>
          <c:showLegendKey val="0"/>
          <c:showVal val="0"/>
          <c:showCatName val="0"/>
          <c:showSerName val="0"/>
          <c:showPercent val="0"/>
          <c:showBubbleSize val="0"/>
        </c:dLbls>
        <c:marker val="1"/>
        <c:smooth val="0"/>
        <c:axId val="154696704"/>
        <c:axId val="154710784"/>
      </c:lineChart>
      <c:lineChart>
        <c:grouping val="standard"/>
        <c:varyColors val="0"/>
        <c:ser>
          <c:idx val="1"/>
          <c:order val="1"/>
          <c:tx>
            <c:strRef>
              <c:f>Skötselplan!$A$105</c:f>
              <c:strCache>
                <c:ptCount val="1"/>
                <c:pt idx="0">
                  <c:v>Antal kalvar per hondjur</c:v>
                </c:pt>
              </c:strCache>
            </c:strRef>
          </c:tx>
          <c:val>
            <c:numRef>
              <c:f>Skötselplan!$B$105:$E$105</c:f>
              <c:numCache>
                <c:formatCode>0.000</c:formatCode>
                <c:ptCount val="4"/>
                <c:pt idx="0">
                  <c:v>0.52900000000000003</c:v>
                </c:pt>
                <c:pt idx="1">
                  <c:v>0.73799999999999999</c:v>
                </c:pt>
                <c:pt idx="2">
                  <c:v>0.313</c:v>
                </c:pt>
                <c:pt idx="3">
                  <c:v>0.59299999999999997</c:v>
                </c:pt>
              </c:numCache>
            </c:numRef>
          </c:val>
          <c:smooth val="0"/>
          <c:extLst>
            <c:ext xmlns:c15="http://schemas.microsoft.com/office/drawing/2012/chart" uri="{02D57815-91ED-43cb-92C2-25804820EDAC}">
              <c15:filteredCategoryTitle>
                <c15:cat>
                  <c:numRef>
                    <c:extLst>
                      <c:ext uri="{02D57815-91ED-43cb-92C2-25804820EDAC}">
                        <c15:formulaRef>
                          <c15:sqref>Skötselplan!$B$102:$E$102</c15:sqref>
                        </c15:formulaRef>
                      </c:ext>
                    </c:extLst>
                    <c:numCache>
                      <c:formatCode>General</c:formatCode>
                      <c:ptCount val="4"/>
                      <c:pt idx="0">
                        <c:v>2020</c:v>
                      </c:pt>
                      <c:pt idx="1">
                        <c:v>2021</c:v>
                      </c:pt>
                      <c:pt idx="2">
                        <c:v>2022</c:v>
                      </c:pt>
                      <c:pt idx="3">
                        <c:v>2023</c:v>
                      </c:pt>
                    </c:numCache>
                  </c:numRef>
                </c15:cat>
              </c15:filteredCategoryTitle>
            </c:ext>
            <c:ext xmlns:c16="http://schemas.microsoft.com/office/drawing/2014/chart" uri="{C3380CC4-5D6E-409C-BE32-E72D297353CC}">
              <c16:uniqueId val="{00000001-37B2-47F2-B696-9E92C4515759}"/>
            </c:ext>
          </c:extLst>
        </c:ser>
        <c:ser>
          <c:idx val="4"/>
          <c:order val="2"/>
          <c:tx>
            <c:strRef>
              <c:f>Skötselplan!$A$106</c:f>
              <c:strCache>
                <c:ptCount val="1"/>
                <c:pt idx="0">
                  <c:v>Andel tjur av vuxna</c:v>
                </c:pt>
              </c:strCache>
            </c:strRef>
          </c:tx>
          <c:val>
            <c:numRef>
              <c:f>Skötselplan!$B$106:$E$106</c:f>
              <c:numCache>
                <c:formatCode>0.0%</c:formatCode>
                <c:ptCount val="4"/>
                <c:pt idx="0">
                  <c:v>0.35399999999999998</c:v>
                </c:pt>
                <c:pt idx="1">
                  <c:v>0.433</c:v>
                </c:pt>
                <c:pt idx="2">
                  <c:v>0.32700000000000001</c:v>
                </c:pt>
                <c:pt idx="3">
                  <c:v>0.46</c:v>
                </c:pt>
              </c:numCache>
            </c:numRef>
          </c:val>
          <c:smooth val="0"/>
          <c:extLst>
            <c:ext xmlns:c15="http://schemas.microsoft.com/office/drawing/2012/chart" uri="{02D57815-91ED-43cb-92C2-25804820EDAC}">
              <c15:filteredCategoryTitle>
                <c15:cat>
                  <c:numRef>
                    <c:extLst>
                      <c:ext uri="{02D57815-91ED-43cb-92C2-25804820EDAC}">
                        <c15:formulaRef>
                          <c15:sqref>Skötselplan!$B$102:$E$102</c15:sqref>
                        </c15:formulaRef>
                      </c:ext>
                    </c:extLst>
                    <c:numCache>
                      <c:formatCode>General</c:formatCode>
                      <c:ptCount val="4"/>
                      <c:pt idx="0">
                        <c:v>2020</c:v>
                      </c:pt>
                      <c:pt idx="1">
                        <c:v>2021</c:v>
                      </c:pt>
                      <c:pt idx="2">
                        <c:v>2022</c:v>
                      </c:pt>
                      <c:pt idx="3">
                        <c:v>2023</c:v>
                      </c:pt>
                    </c:numCache>
                  </c:numRef>
                </c15:cat>
              </c15:filteredCategoryTitle>
            </c:ext>
            <c:ext xmlns:c16="http://schemas.microsoft.com/office/drawing/2014/chart" uri="{C3380CC4-5D6E-409C-BE32-E72D297353CC}">
              <c16:uniqueId val="{00000002-37B2-47F2-B696-9E92C4515759}"/>
            </c:ext>
          </c:extLst>
        </c:ser>
        <c:dLbls>
          <c:showLegendKey val="0"/>
          <c:showVal val="0"/>
          <c:showCatName val="0"/>
          <c:showSerName val="0"/>
          <c:showPercent val="0"/>
          <c:showBubbleSize val="0"/>
        </c:dLbls>
        <c:marker val="1"/>
        <c:smooth val="0"/>
        <c:axId val="154714880"/>
        <c:axId val="154712704"/>
      </c:lineChart>
      <c:catAx>
        <c:axId val="154696704"/>
        <c:scaling>
          <c:orientation val="minMax"/>
        </c:scaling>
        <c:delete val="0"/>
        <c:axPos val="b"/>
        <c:numFmt formatCode="General" sourceLinked="1"/>
        <c:majorTickMark val="none"/>
        <c:minorTickMark val="none"/>
        <c:tickLblPos val="nextTo"/>
        <c:crossAx val="154710784"/>
        <c:crosses val="autoZero"/>
        <c:auto val="1"/>
        <c:lblAlgn val="ctr"/>
        <c:lblOffset val="100"/>
        <c:noMultiLvlLbl val="0"/>
      </c:catAx>
      <c:valAx>
        <c:axId val="154710784"/>
        <c:scaling>
          <c:orientation val="minMax"/>
        </c:scaling>
        <c:delete val="0"/>
        <c:axPos val="l"/>
        <c:majorGridlines/>
        <c:title>
          <c:tx>
            <c:rich>
              <a:bodyPr/>
              <a:lstStyle/>
              <a:p>
                <a:pPr>
                  <a:defRPr sz="1200"/>
                </a:pPr>
                <a:r>
                  <a:rPr lang="sv-SE" sz="1200"/>
                  <a:t>Obs/mantimme</a:t>
                </a:r>
              </a:p>
            </c:rich>
          </c:tx>
          <c:layout>
            <c:manualLayout>
              <c:xMode val="edge"/>
              <c:yMode val="edge"/>
              <c:x val="6.1835701243866253E-2"/>
              <c:y val="0.32567794281839491"/>
            </c:manualLayout>
          </c:layout>
          <c:overlay val="0"/>
        </c:title>
        <c:numFmt formatCode="0.000" sourceLinked="1"/>
        <c:majorTickMark val="none"/>
        <c:minorTickMark val="none"/>
        <c:tickLblPos val="nextTo"/>
        <c:crossAx val="154696704"/>
        <c:crossesAt val="1"/>
        <c:crossBetween val="between"/>
      </c:valAx>
      <c:valAx>
        <c:axId val="154712704"/>
        <c:scaling>
          <c:orientation val="minMax"/>
        </c:scaling>
        <c:delete val="0"/>
        <c:axPos val="r"/>
        <c:title>
          <c:tx>
            <c:rich>
              <a:bodyPr rot="-5400000" vert="horz"/>
              <a:lstStyle/>
              <a:p>
                <a:pPr>
                  <a:defRPr sz="1200"/>
                </a:pPr>
                <a:r>
                  <a:rPr lang="sv-SE" sz="1200"/>
                  <a:t>Reproduktion</a:t>
                </a:r>
                <a:r>
                  <a:rPr lang="sv-SE" sz="1200" baseline="0"/>
                  <a:t> och tjurandel</a:t>
                </a:r>
                <a:endParaRPr lang="sv-SE" sz="1200"/>
              </a:p>
            </c:rich>
          </c:tx>
          <c:layout>
            <c:manualLayout>
              <c:xMode val="edge"/>
              <c:yMode val="edge"/>
              <c:x val="0.92028985507246375"/>
              <c:y val="0.27507707416305699"/>
            </c:manualLayout>
          </c:layout>
          <c:overlay val="0"/>
        </c:title>
        <c:numFmt formatCode="0.000" sourceLinked="1"/>
        <c:majorTickMark val="out"/>
        <c:minorTickMark val="none"/>
        <c:tickLblPos val="nextTo"/>
        <c:crossAx val="154714880"/>
        <c:crosses val="max"/>
        <c:crossBetween val="between"/>
      </c:valAx>
      <c:catAx>
        <c:axId val="154714880"/>
        <c:scaling>
          <c:orientation val="minMax"/>
        </c:scaling>
        <c:delete val="1"/>
        <c:axPos val="b"/>
        <c:numFmt formatCode="General" sourceLinked="1"/>
        <c:majorTickMark val="out"/>
        <c:minorTickMark val="none"/>
        <c:tickLblPos val="nextTo"/>
        <c:crossAx val="154712704"/>
        <c:crosses val="autoZero"/>
        <c:auto val="1"/>
        <c:lblAlgn val="ctr"/>
        <c:lblOffset val="100"/>
        <c:noMultiLvlLbl val="0"/>
      </c:catAx>
      <c:dTable>
        <c:showHorzBorder val="1"/>
        <c:showVertBorder val="1"/>
        <c:showOutline val="1"/>
        <c:showKeys val="1"/>
      </c:dTable>
    </c:plotArea>
    <c:plotVisOnly val="1"/>
    <c:dispBlanksAs val="gap"/>
    <c:showDLblsOverMax val="0"/>
  </c:chart>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sv-SE"/>
              <a:t>Spillningsinventering</a:t>
            </a:r>
            <a:endParaRPr lang="sv-SE" baseline="0"/>
          </a:p>
        </c:rich>
      </c:tx>
      <c:overlay val="0"/>
    </c:title>
    <c:autoTitleDeleted val="0"/>
    <c:plotArea>
      <c:layout/>
      <c:lineChart>
        <c:grouping val="standard"/>
        <c:varyColors val="0"/>
        <c:ser>
          <c:idx val="2"/>
          <c:order val="0"/>
          <c:tx>
            <c:strRef>
              <c:f>Skötselplan!$A$118</c:f>
              <c:strCache>
                <c:ptCount val="1"/>
                <c:pt idx="0">
                  <c:v>Vinterstam i antal/1000 ha (max)</c:v>
                </c:pt>
              </c:strCache>
            </c:strRef>
          </c:tx>
          <c:trendline>
            <c:spPr>
              <a:ln w="19050">
                <a:solidFill>
                  <a:srgbClr val="9BBB59"/>
                </a:solidFill>
                <a:prstDash val="sysDash"/>
              </a:ln>
            </c:spPr>
            <c:trendlineType val="linear"/>
            <c:dispRSqr val="0"/>
            <c:dispEq val="1"/>
            <c:trendlineLbl>
              <c:numFmt formatCode="General" sourceLinked="0"/>
            </c:trendlineLbl>
          </c:trendline>
          <c:val>
            <c:numRef>
              <c:f>Skötselplan!$B$118:$G$118</c:f>
              <c:numCache>
                <c:formatCode>0.0</c:formatCode>
                <c:ptCount val="6"/>
              </c:numCache>
            </c:numRef>
          </c:val>
          <c:smooth val="0"/>
          <c:extLst>
            <c:ext xmlns:c16="http://schemas.microsoft.com/office/drawing/2014/chart" uri="{C3380CC4-5D6E-409C-BE32-E72D297353CC}">
              <c16:uniqueId val="{00000000-53C6-4515-BA53-1930567322AA}"/>
            </c:ext>
          </c:extLst>
        </c:ser>
        <c:ser>
          <c:idx val="0"/>
          <c:order val="1"/>
          <c:tx>
            <c:strRef>
              <c:f>Skötselplan!$A$120</c:f>
              <c:strCache>
                <c:ptCount val="1"/>
                <c:pt idx="0">
                  <c:v>Vinterstam i antal/1000 ha (medel)</c:v>
                </c:pt>
              </c:strCache>
            </c:strRef>
          </c:tx>
          <c:trendline>
            <c:spPr>
              <a:ln w="19050">
                <a:solidFill>
                  <a:srgbClr val="4F81BD"/>
                </a:solidFill>
                <a:prstDash val="sysDash"/>
              </a:ln>
            </c:spPr>
            <c:trendlineType val="linear"/>
            <c:dispRSqr val="0"/>
            <c:dispEq val="0"/>
          </c:trendline>
          <c:val>
            <c:numRef>
              <c:f>Skötselplan!$B$120:$G$120</c:f>
              <c:numCache>
                <c:formatCode>0.0</c:formatCode>
                <c:ptCount val="6"/>
                <c:pt idx="0">
                  <c:v>0</c:v>
                </c:pt>
                <c:pt idx="1">
                  <c:v>0</c:v>
                </c:pt>
                <c:pt idx="2">
                  <c:v>0</c:v>
                </c:pt>
                <c:pt idx="3">
                  <c:v>0</c:v>
                </c:pt>
                <c:pt idx="4">
                  <c:v>0</c:v>
                </c:pt>
                <c:pt idx="5">
                  <c:v>0</c:v>
                </c:pt>
              </c:numCache>
            </c:numRef>
          </c:val>
          <c:smooth val="0"/>
          <c:extLst>
            <c:ext xmlns:c15="http://schemas.microsoft.com/office/drawing/2012/chart" uri="{02D57815-91ED-43cb-92C2-25804820EDAC}">
              <c15:filteredCategoryTitle>
                <c15:cat>
                  <c:numRef>
                    <c:extLst>
                      <c:ext uri="{02D57815-91ED-43cb-92C2-25804820EDAC}">
                        <c15:formulaRef>
                          <c15:sqref>Skötselplan!$B$112:$G$112</c15:sqref>
                        </c15:formulaRef>
                      </c:ext>
                    </c:extLst>
                    <c:numCache>
                      <c:formatCode>General</c:formatCode>
                      <c:ptCount val="6"/>
                      <c:pt idx="0">
                        <c:v>2019</c:v>
                      </c:pt>
                      <c:pt idx="1">
                        <c:v>2020</c:v>
                      </c:pt>
                      <c:pt idx="2">
                        <c:v>2021</c:v>
                      </c:pt>
                      <c:pt idx="3">
                        <c:v>2022</c:v>
                      </c:pt>
                      <c:pt idx="4">
                        <c:v>2023</c:v>
                      </c:pt>
                      <c:pt idx="5">
                        <c:v>2024</c:v>
                      </c:pt>
                    </c:numCache>
                  </c:numRef>
                </c15:cat>
              </c15:filteredCategoryTitle>
            </c:ext>
            <c:ext xmlns:c16="http://schemas.microsoft.com/office/drawing/2014/chart" uri="{C3380CC4-5D6E-409C-BE32-E72D297353CC}">
              <c16:uniqueId val="{00000001-53C6-4515-BA53-1930567322AA}"/>
            </c:ext>
          </c:extLst>
        </c:ser>
        <c:ser>
          <c:idx val="1"/>
          <c:order val="2"/>
          <c:tx>
            <c:strRef>
              <c:f>Skötselplan!$A$121</c:f>
              <c:strCache>
                <c:ptCount val="1"/>
                <c:pt idx="0">
                  <c:v>Vinterstam i antal/1000 ha (medel)</c:v>
                </c:pt>
              </c:strCache>
            </c:strRef>
          </c:tx>
          <c:trendline>
            <c:spPr>
              <a:ln w="19050">
                <a:solidFill>
                  <a:srgbClr val="C0504D"/>
                </a:solidFill>
                <a:prstDash val="sysDash"/>
              </a:ln>
            </c:spPr>
            <c:trendlineType val="linear"/>
            <c:dispRSqr val="0"/>
            <c:dispEq val="1"/>
            <c:trendlineLbl>
              <c:numFmt formatCode="General" sourceLinked="0"/>
            </c:trendlineLbl>
          </c:trendline>
          <c:val>
            <c:numRef>
              <c:f>Skötselplan!$B$121:$G$121</c:f>
              <c:numCache>
                <c:formatCode>0.0</c:formatCode>
                <c:ptCount val="6"/>
                <c:pt idx="0">
                  <c:v>0</c:v>
                </c:pt>
                <c:pt idx="1">
                  <c:v>0</c:v>
                </c:pt>
                <c:pt idx="2">
                  <c:v>0</c:v>
                </c:pt>
                <c:pt idx="3">
                  <c:v>0</c:v>
                </c:pt>
                <c:pt idx="4">
                  <c:v>0</c:v>
                </c:pt>
                <c:pt idx="5">
                  <c:v>0</c:v>
                </c:pt>
              </c:numCache>
            </c:numRef>
          </c:val>
          <c:smooth val="0"/>
          <c:extLst>
            <c:ext xmlns:c16="http://schemas.microsoft.com/office/drawing/2014/chart" uri="{C3380CC4-5D6E-409C-BE32-E72D297353CC}">
              <c16:uniqueId val="{00000002-53C6-4515-BA53-1930567322AA}"/>
            </c:ext>
          </c:extLst>
        </c:ser>
        <c:ser>
          <c:idx val="3"/>
          <c:order val="3"/>
          <c:tx>
            <c:strRef>
              <c:f>Skötselplan!$A$119</c:f>
              <c:strCache>
                <c:ptCount val="1"/>
                <c:pt idx="0">
                  <c:v>Vinterstam i antal/1000 ha (min)</c:v>
                </c:pt>
              </c:strCache>
            </c:strRef>
          </c:tx>
          <c:trendline>
            <c:spPr>
              <a:ln w="19050">
                <a:solidFill>
                  <a:srgbClr val="8064A2"/>
                </a:solidFill>
                <a:prstDash val="sysDash"/>
              </a:ln>
            </c:spPr>
            <c:trendlineType val="linear"/>
            <c:dispRSqr val="0"/>
            <c:dispEq val="1"/>
            <c:trendlineLbl>
              <c:numFmt formatCode="General" sourceLinked="0"/>
            </c:trendlineLbl>
          </c:trendline>
          <c:val>
            <c:numRef>
              <c:f>Skötselplan!$B$119:$G$119</c:f>
              <c:numCache>
                <c:formatCode>0.0</c:formatCode>
                <c:ptCount val="6"/>
              </c:numCache>
            </c:numRef>
          </c:val>
          <c:smooth val="0"/>
          <c:extLst>
            <c:ext xmlns:c16="http://schemas.microsoft.com/office/drawing/2014/chart" uri="{C3380CC4-5D6E-409C-BE32-E72D297353CC}">
              <c16:uniqueId val="{00000003-53C6-4515-BA53-1930567322AA}"/>
            </c:ext>
          </c:extLst>
        </c:ser>
        <c:dLbls>
          <c:showLegendKey val="0"/>
          <c:showVal val="0"/>
          <c:showCatName val="0"/>
          <c:showSerName val="0"/>
          <c:showPercent val="0"/>
          <c:showBubbleSize val="0"/>
        </c:dLbls>
        <c:marker val="1"/>
        <c:smooth val="0"/>
        <c:axId val="152981888"/>
        <c:axId val="152983424"/>
      </c:lineChart>
      <c:catAx>
        <c:axId val="152981888"/>
        <c:scaling>
          <c:orientation val="minMax"/>
        </c:scaling>
        <c:delete val="0"/>
        <c:axPos val="b"/>
        <c:numFmt formatCode="General" sourceLinked="1"/>
        <c:majorTickMark val="none"/>
        <c:minorTickMark val="none"/>
        <c:tickLblPos val="nextTo"/>
        <c:crossAx val="152983424"/>
        <c:crosses val="autoZero"/>
        <c:auto val="1"/>
        <c:lblAlgn val="ctr"/>
        <c:lblOffset val="100"/>
        <c:noMultiLvlLbl val="0"/>
      </c:catAx>
      <c:valAx>
        <c:axId val="152983424"/>
        <c:scaling>
          <c:orientation val="minMax"/>
          <c:min val="0"/>
        </c:scaling>
        <c:delete val="0"/>
        <c:axPos val="l"/>
        <c:majorGridlines/>
        <c:title>
          <c:tx>
            <c:rich>
              <a:bodyPr/>
              <a:lstStyle/>
              <a:p>
                <a:pPr>
                  <a:defRPr sz="1200"/>
                </a:pPr>
                <a:r>
                  <a:rPr lang="sv-SE" sz="1200"/>
                  <a:t>Index-beräknat antal per 1000 ha</a:t>
                </a:r>
              </a:p>
            </c:rich>
          </c:tx>
          <c:overlay val="0"/>
        </c:title>
        <c:numFmt formatCode="0.0" sourceLinked="1"/>
        <c:majorTickMark val="none"/>
        <c:minorTickMark val="none"/>
        <c:tickLblPos val="nextTo"/>
        <c:crossAx val="152981888"/>
        <c:crossesAt val="1"/>
        <c:crossBetween val="between"/>
      </c:valAx>
      <c:dTable>
        <c:showHorzBorder val="1"/>
        <c:showVertBorder val="1"/>
        <c:showOutline val="1"/>
        <c:showKeys val="1"/>
      </c:dTable>
    </c:plotArea>
    <c:plotVisOnly val="1"/>
    <c:dispBlanksAs val="gap"/>
    <c:showDLblsOverMax val="0"/>
  </c:chart>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Kalvvikter i kg - årsvisa värden och trendlinjer</a:t>
            </a:r>
          </a:p>
        </c:rich>
      </c:tx>
      <c:overlay val="0"/>
    </c:title>
    <c:autoTitleDeleted val="0"/>
    <c:plotArea>
      <c:layout>
        <c:manualLayout>
          <c:layoutTarget val="inner"/>
          <c:xMode val="edge"/>
          <c:yMode val="edge"/>
          <c:x val="0.2493271754492227"/>
          <c:y val="0.18546007477696963"/>
          <c:w val="0.73304461942257215"/>
          <c:h val="0.68006321402904379"/>
        </c:manualLayout>
      </c:layout>
      <c:barChart>
        <c:barDir val="col"/>
        <c:grouping val="clustered"/>
        <c:varyColors val="0"/>
        <c:ser>
          <c:idx val="1"/>
          <c:order val="0"/>
          <c:tx>
            <c:strRef>
              <c:f>Skötselplan!$A$131</c:f>
              <c:strCache>
                <c:ptCount val="1"/>
                <c:pt idx="0">
                  <c:v>Slaktvikt kg septemberjakt (vägda)</c:v>
                </c:pt>
              </c:strCache>
            </c:strRef>
          </c:tx>
          <c:invertIfNegative val="0"/>
          <c:val>
            <c:numRef>
              <c:f>Skötselplan!$D$131:$F$131</c:f>
              <c:numCache>
                <c:formatCode>0</c:formatCode>
                <c:ptCount val="3"/>
                <c:pt idx="0">
                  <c:v>0</c:v>
                </c:pt>
                <c:pt idx="1">
                  <c:v>0</c:v>
                </c:pt>
                <c:pt idx="2">
                  <c:v>0</c:v>
                </c:pt>
              </c:numCache>
            </c:numRef>
          </c:val>
          <c:extLst>
            <c:ext xmlns:c15="http://schemas.microsoft.com/office/drawing/2012/chart" uri="{02D57815-91ED-43cb-92C2-25804820EDAC}">
              <c15:filteredCategoryTitle>
                <c15:cat>
                  <c:numRef>
                    <c:extLst>
                      <c:ext uri="{02D57815-91ED-43cb-92C2-25804820EDAC}">
                        <c15:formulaRef>
                          <c15:sqref>Skötselplan!$D$129:$F$129</c15:sqref>
                        </c15:formulaRef>
                      </c:ext>
                    </c:extLst>
                    <c:numCache>
                      <c:formatCode>General</c:formatCode>
                      <c:ptCount val="3"/>
                      <c:pt idx="0">
                        <c:v>2021</c:v>
                      </c:pt>
                      <c:pt idx="1">
                        <c:v>2022</c:v>
                      </c:pt>
                      <c:pt idx="2">
                        <c:v>2023</c:v>
                      </c:pt>
                    </c:numCache>
                  </c:numRef>
                </c15:cat>
              </c15:filteredCategoryTitle>
            </c:ext>
            <c:ext xmlns:c16="http://schemas.microsoft.com/office/drawing/2014/chart" uri="{C3380CC4-5D6E-409C-BE32-E72D297353CC}">
              <c16:uniqueId val="{00000000-2956-435D-AB97-D1F86F4AF764}"/>
            </c:ext>
          </c:extLst>
        </c:ser>
        <c:ser>
          <c:idx val="2"/>
          <c:order val="1"/>
          <c:tx>
            <c:strRef>
              <c:f>Skötselplan!$A$132</c:f>
              <c:strCache>
                <c:ptCount val="1"/>
                <c:pt idx="0">
                  <c:v>Slaktvikt kg oktoberjakt (vägda)</c:v>
                </c:pt>
              </c:strCache>
            </c:strRef>
          </c:tx>
          <c:invertIfNegative val="0"/>
          <c:trendline>
            <c:trendlineType val="linear"/>
            <c:dispRSqr val="0"/>
            <c:dispEq val="0"/>
          </c:trendline>
          <c:val>
            <c:numRef>
              <c:f>Skötselplan!$D$132:$F$132</c:f>
              <c:numCache>
                <c:formatCode>0</c:formatCode>
                <c:ptCount val="3"/>
                <c:pt idx="0">
                  <c:v>50</c:v>
                </c:pt>
                <c:pt idx="1">
                  <c:v>46</c:v>
                </c:pt>
                <c:pt idx="2">
                  <c:v>59</c:v>
                </c:pt>
              </c:numCache>
            </c:numRef>
          </c:val>
          <c:extLst>
            <c:ext xmlns:c15="http://schemas.microsoft.com/office/drawing/2012/chart" uri="{02D57815-91ED-43cb-92C2-25804820EDAC}">
              <c15:filteredCategoryTitle>
                <c15:cat>
                  <c:numRef>
                    <c:extLst>
                      <c:ext uri="{02D57815-91ED-43cb-92C2-25804820EDAC}">
                        <c15:formulaRef>
                          <c15:sqref>Skötselplan!$D$129:$F$129</c15:sqref>
                        </c15:formulaRef>
                      </c:ext>
                    </c:extLst>
                    <c:numCache>
                      <c:formatCode>General</c:formatCode>
                      <c:ptCount val="3"/>
                      <c:pt idx="0">
                        <c:v>2021</c:v>
                      </c:pt>
                      <c:pt idx="1">
                        <c:v>2022</c:v>
                      </c:pt>
                      <c:pt idx="2">
                        <c:v>2023</c:v>
                      </c:pt>
                    </c:numCache>
                  </c:numRef>
                </c15:cat>
              </c15:filteredCategoryTitle>
            </c:ext>
            <c:ext xmlns:c16="http://schemas.microsoft.com/office/drawing/2014/chart" uri="{C3380CC4-5D6E-409C-BE32-E72D297353CC}">
              <c16:uniqueId val="{00000001-2956-435D-AB97-D1F86F4AF764}"/>
            </c:ext>
          </c:extLst>
        </c:ser>
        <c:ser>
          <c:idx val="0"/>
          <c:order val="2"/>
          <c:tx>
            <c:strRef>
              <c:f>Skötselplan!$A$133</c:f>
              <c:strCache>
                <c:ptCount val="1"/>
                <c:pt idx="0">
                  <c:v>Slaktvikt kg medel (vägda)</c:v>
                </c:pt>
              </c:strCache>
            </c:strRef>
          </c:tx>
          <c:invertIfNegative val="0"/>
          <c:trendline>
            <c:spPr>
              <a:ln w="19050">
                <a:solidFill>
                  <a:schemeClr val="accent1"/>
                </a:solidFill>
                <a:prstDash val="dash"/>
              </a:ln>
            </c:spPr>
            <c:trendlineType val="linear"/>
            <c:forward val="0.5"/>
            <c:backward val="0.5"/>
            <c:dispRSqr val="0"/>
            <c:dispEq val="0"/>
          </c:trendline>
          <c:val>
            <c:numRef>
              <c:f>Skötselplan!$D$133:$F$133</c:f>
              <c:numCache>
                <c:formatCode>0</c:formatCode>
                <c:ptCount val="3"/>
                <c:pt idx="0">
                  <c:v>50</c:v>
                </c:pt>
                <c:pt idx="1">
                  <c:v>46</c:v>
                </c:pt>
                <c:pt idx="2">
                  <c:v>59</c:v>
                </c:pt>
              </c:numCache>
            </c:numRef>
          </c:val>
          <c:extLst>
            <c:ext xmlns:c16="http://schemas.microsoft.com/office/drawing/2014/chart" uri="{C3380CC4-5D6E-409C-BE32-E72D297353CC}">
              <c16:uniqueId val="{00000002-2956-435D-AB97-D1F86F4AF764}"/>
            </c:ext>
          </c:extLst>
        </c:ser>
        <c:dLbls>
          <c:showLegendKey val="0"/>
          <c:showVal val="0"/>
          <c:showCatName val="0"/>
          <c:showSerName val="0"/>
          <c:showPercent val="0"/>
          <c:showBubbleSize val="0"/>
        </c:dLbls>
        <c:gapWidth val="150"/>
        <c:axId val="153042304"/>
        <c:axId val="153052288"/>
      </c:barChart>
      <c:catAx>
        <c:axId val="153042304"/>
        <c:scaling>
          <c:orientation val="minMax"/>
        </c:scaling>
        <c:delete val="0"/>
        <c:axPos val="b"/>
        <c:numFmt formatCode="General" sourceLinked="1"/>
        <c:majorTickMark val="none"/>
        <c:minorTickMark val="none"/>
        <c:tickLblPos val="nextTo"/>
        <c:crossAx val="153052288"/>
        <c:crosses val="autoZero"/>
        <c:auto val="1"/>
        <c:lblAlgn val="ctr"/>
        <c:lblOffset val="100"/>
        <c:noMultiLvlLbl val="0"/>
      </c:catAx>
      <c:valAx>
        <c:axId val="153052288"/>
        <c:scaling>
          <c:orientation val="minMax"/>
          <c:max val="100"/>
          <c:min val="0"/>
        </c:scaling>
        <c:delete val="0"/>
        <c:axPos val="l"/>
        <c:majorGridlines/>
        <c:title>
          <c:tx>
            <c:rich>
              <a:bodyPr/>
              <a:lstStyle/>
              <a:p>
                <a:pPr>
                  <a:defRPr sz="1400"/>
                </a:pPr>
                <a:r>
                  <a:rPr lang="sv-SE" sz="1400"/>
                  <a:t>Medlevikt</a:t>
                </a:r>
                <a:r>
                  <a:rPr lang="sv-SE" sz="1400" baseline="0"/>
                  <a:t> i kg</a:t>
                </a:r>
                <a:endParaRPr lang="sv-SE" sz="1400"/>
              </a:p>
            </c:rich>
          </c:tx>
          <c:layout>
            <c:manualLayout>
              <c:xMode val="edge"/>
              <c:yMode val="edge"/>
              <c:x val="0.16025641025641027"/>
              <c:y val="0.4571291856591595"/>
            </c:manualLayout>
          </c:layout>
          <c:overlay val="0"/>
        </c:title>
        <c:numFmt formatCode="0" sourceLinked="1"/>
        <c:majorTickMark val="none"/>
        <c:minorTickMark val="none"/>
        <c:tickLblPos val="nextTo"/>
        <c:crossAx val="153042304"/>
        <c:crosses val="autoZero"/>
        <c:crossBetween val="between"/>
        <c:majorUnit val="10"/>
        <c:minorUnit val="5"/>
      </c:valAx>
      <c:dTable>
        <c:showHorzBorder val="1"/>
        <c:showVertBorder val="1"/>
        <c:showOutline val="1"/>
        <c:showKeys val="1"/>
      </c:dTable>
    </c:plotArea>
    <c:plotVisOnly val="1"/>
    <c:dispBlanksAs val="gap"/>
    <c:showDLblsOverMax val="0"/>
  </c:chart>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sv-SE"/>
              <a:t>Skogstillstånd enligt</a:t>
            </a:r>
            <a:r>
              <a:rPr lang="sv-SE" baseline="0"/>
              <a:t> </a:t>
            </a:r>
            <a:r>
              <a:rPr lang="sv-SE"/>
              <a:t>Äbin</a:t>
            </a:r>
          </a:p>
          <a:p>
            <a:pPr>
              <a:defRPr/>
            </a:pPr>
            <a:r>
              <a:rPr lang="sv-SE"/>
              <a:t>-</a:t>
            </a:r>
            <a:r>
              <a:rPr lang="sv-SE" baseline="0"/>
              <a:t> årsvisa värden samt trendlinjer</a:t>
            </a:r>
            <a:endParaRPr lang="sv-SE"/>
          </a:p>
        </c:rich>
      </c:tx>
      <c:overlay val="0"/>
    </c:title>
    <c:autoTitleDeleted val="0"/>
    <c:plotArea>
      <c:layout>
        <c:manualLayout>
          <c:layoutTarget val="inner"/>
          <c:xMode val="edge"/>
          <c:yMode val="edge"/>
          <c:x val="0.27341745406824147"/>
          <c:y val="0.17956103600257511"/>
          <c:w val="0.60113110236220468"/>
          <c:h val="0.63607666022879217"/>
        </c:manualLayout>
      </c:layout>
      <c:lineChart>
        <c:grouping val="standard"/>
        <c:varyColors val="0"/>
        <c:ser>
          <c:idx val="0"/>
          <c:order val="0"/>
          <c:tx>
            <c:strRef>
              <c:f>Skötselplan!$B$239</c:f>
              <c:strCache>
                <c:ptCount val="1"/>
                <c:pt idx="0">
                  <c:v>Årsskada Tall (vinterskador + sommarskador)</c:v>
                </c:pt>
              </c:strCache>
            </c:strRef>
          </c:tx>
          <c:spPr>
            <a:ln>
              <a:noFill/>
            </a:ln>
          </c:spPr>
          <c:trendline>
            <c:spPr>
              <a:ln w="25400">
                <a:solidFill>
                  <a:srgbClr val="4F81BD"/>
                </a:solidFill>
                <a:prstDash val="sysDash"/>
              </a:ln>
            </c:spPr>
            <c:trendlineType val="movingAvg"/>
            <c:period val="2"/>
            <c:dispRSqr val="0"/>
            <c:dispEq val="0"/>
          </c:trendline>
          <c:cat>
            <c:strRef>
              <c:f>Skötselplan!$E$238:$H$238</c:f>
              <c:strCache>
                <c:ptCount val="4"/>
                <c:pt idx="0">
                  <c:v>2019</c:v>
                </c:pt>
                <c:pt idx="1">
                  <c:v>2021</c:v>
                </c:pt>
                <c:pt idx="2">
                  <c:v>2023</c:v>
                </c:pt>
                <c:pt idx="3">
                  <c:v>Medel tre senaste inventeringarna</c:v>
                </c:pt>
              </c:strCache>
            </c:strRef>
          </c:cat>
          <c:val>
            <c:numRef>
              <c:f>Skötselplan!$E$239:$H$239</c:f>
              <c:numCache>
                <c:formatCode>0.0%</c:formatCode>
                <c:ptCount val="4"/>
                <c:pt idx="0">
                  <c:v>0.26800000000000002</c:v>
                </c:pt>
                <c:pt idx="1">
                  <c:v>0.11</c:v>
                </c:pt>
                <c:pt idx="2">
                  <c:v>0.28800000000000003</c:v>
                </c:pt>
                <c:pt idx="3">
                  <c:v>0.20300000000000001</c:v>
                </c:pt>
              </c:numCache>
            </c:numRef>
          </c:val>
          <c:smooth val="0"/>
          <c:extLst>
            <c:ext xmlns:c16="http://schemas.microsoft.com/office/drawing/2014/chart" uri="{C3380CC4-5D6E-409C-BE32-E72D297353CC}">
              <c16:uniqueId val="{00000000-C905-48E9-A2D1-F5F7A6C41321}"/>
            </c:ext>
          </c:extLst>
        </c:ser>
        <c:dLbls>
          <c:showLegendKey val="0"/>
          <c:showVal val="0"/>
          <c:showCatName val="0"/>
          <c:showSerName val="0"/>
          <c:showPercent val="0"/>
          <c:showBubbleSize val="0"/>
        </c:dLbls>
        <c:marker val="1"/>
        <c:smooth val="0"/>
        <c:axId val="154788608"/>
        <c:axId val="154790144"/>
      </c:lineChart>
      <c:lineChart>
        <c:grouping val="standard"/>
        <c:varyColors val="0"/>
        <c:ser>
          <c:idx val="1"/>
          <c:order val="1"/>
          <c:tx>
            <c:strRef>
              <c:f>Skötselplan!$B$240</c:f>
              <c:strCache>
                <c:ptCount val="1"/>
                <c:pt idx="0">
                  <c:v>Andel Tallstammar utan viltskador</c:v>
                </c:pt>
              </c:strCache>
            </c:strRef>
          </c:tx>
          <c:spPr>
            <a:ln>
              <a:noFill/>
            </a:ln>
          </c:spPr>
          <c:trendline>
            <c:spPr>
              <a:ln w="25400">
                <a:solidFill>
                  <a:srgbClr val="C00000"/>
                </a:solidFill>
                <a:prstDash val="sysDash"/>
              </a:ln>
            </c:spPr>
            <c:trendlineType val="movingAvg"/>
            <c:period val="2"/>
            <c:dispRSqr val="0"/>
            <c:dispEq val="0"/>
          </c:trendline>
          <c:val>
            <c:numRef>
              <c:f>Skötselplan!$E$240:$H$240</c:f>
              <c:numCache>
                <c:formatCode>0%</c:formatCode>
                <c:ptCount val="4"/>
                <c:pt idx="0">
                  <c:v>0.51900000000000002</c:v>
                </c:pt>
                <c:pt idx="1">
                  <c:v>0.53400000000000003</c:v>
                </c:pt>
                <c:pt idx="2">
                  <c:v>0.43200000000000005</c:v>
                </c:pt>
                <c:pt idx="3">
                  <c:v>0.501</c:v>
                </c:pt>
              </c:numCache>
            </c:numRef>
          </c:val>
          <c:smooth val="0"/>
          <c:extLst>
            <c:ext xmlns:c16="http://schemas.microsoft.com/office/drawing/2014/chart" uri="{C3380CC4-5D6E-409C-BE32-E72D297353CC}">
              <c16:uniqueId val="{00000001-C905-48E9-A2D1-F5F7A6C41321}"/>
            </c:ext>
          </c:extLst>
        </c:ser>
        <c:ser>
          <c:idx val="2"/>
          <c:order val="2"/>
          <c:tx>
            <c:strRef>
              <c:f>Skötselplan!$B$241</c:f>
              <c:strCache>
                <c:ptCount val="1"/>
                <c:pt idx="0">
                  <c:v>Andel mager mark föryngrad med tall</c:v>
                </c:pt>
              </c:strCache>
            </c:strRef>
          </c:tx>
          <c:spPr>
            <a:ln w="28575">
              <a:noFill/>
            </a:ln>
          </c:spPr>
          <c:val>
            <c:numRef>
              <c:f>Skötselplan!$E$241:$H$241</c:f>
              <c:numCache>
                <c:formatCode>0%</c:formatCode>
                <c:ptCount val="4"/>
                <c:pt idx="0">
                  <c:v>0</c:v>
                </c:pt>
                <c:pt idx="1">
                  <c:v>0.113</c:v>
                </c:pt>
                <c:pt idx="2">
                  <c:v>7.2000000000000008E-2</c:v>
                </c:pt>
                <c:pt idx="3">
                  <c:v>0.06</c:v>
                </c:pt>
              </c:numCache>
            </c:numRef>
          </c:val>
          <c:smooth val="0"/>
          <c:extLst>
            <c:ext xmlns:c16="http://schemas.microsoft.com/office/drawing/2014/chart" uri="{C3380CC4-5D6E-409C-BE32-E72D297353CC}">
              <c16:uniqueId val="{00000002-C905-48E9-A2D1-F5F7A6C41321}"/>
            </c:ext>
          </c:extLst>
        </c:ser>
        <c:ser>
          <c:idx val="3"/>
          <c:order val="3"/>
          <c:tx>
            <c:strRef>
              <c:f>Skötselplan!$B$242</c:f>
              <c:strCache>
                <c:ptCount val="1"/>
                <c:pt idx="0">
                  <c:v>Andel ytor med gynnsam konkurrensstatus</c:v>
                </c:pt>
              </c:strCache>
            </c:strRef>
          </c:tx>
          <c:spPr>
            <a:ln w="28575">
              <a:noFill/>
            </a:ln>
          </c:spPr>
          <c:val>
            <c:numRef>
              <c:f>Skötselplan!$E$242:$H$242</c:f>
              <c:numCache>
                <c:formatCode>0%</c:formatCode>
                <c:ptCount val="4"/>
                <c:pt idx="0">
                  <c:v>0.04</c:v>
                </c:pt>
                <c:pt idx="1">
                  <c:v>0.03</c:v>
                </c:pt>
                <c:pt idx="2">
                  <c:v>0.05</c:v>
                </c:pt>
                <c:pt idx="3">
                  <c:v>0.04</c:v>
                </c:pt>
              </c:numCache>
            </c:numRef>
          </c:val>
          <c:smooth val="0"/>
          <c:extLst>
            <c:ext xmlns:c16="http://schemas.microsoft.com/office/drawing/2014/chart" uri="{C3380CC4-5D6E-409C-BE32-E72D297353CC}">
              <c16:uniqueId val="{00000003-C905-48E9-A2D1-F5F7A6C41321}"/>
            </c:ext>
          </c:extLst>
        </c:ser>
        <c:ser>
          <c:idx val="4"/>
          <c:order val="4"/>
          <c:tx>
            <c:strRef>
              <c:f>Skötselplan!$B$243</c:f>
              <c:strCache>
                <c:ptCount val="1"/>
                <c:pt idx="0">
                  <c:v>Årsskada Gran(vinterskador + sommarskador)</c:v>
                </c:pt>
              </c:strCache>
            </c:strRef>
          </c:tx>
          <c:spPr>
            <a:ln w="28575">
              <a:noFill/>
            </a:ln>
          </c:spPr>
          <c:val>
            <c:numRef>
              <c:f>Skötselplan!$E$243:$H$243</c:f>
              <c:numCache>
                <c:formatCode>0.0%</c:formatCode>
                <c:ptCount val="4"/>
                <c:pt idx="0">
                  <c:v>2.1000000000000001E-2</c:v>
                </c:pt>
                <c:pt idx="1">
                  <c:v>1.3000000000000001E-2</c:v>
                </c:pt>
                <c:pt idx="2">
                  <c:v>1.1000000000000001E-2</c:v>
                </c:pt>
                <c:pt idx="3">
                  <c:v>1.6E-2</c:v>
                </c:pt>
              </c:numCache>
            </c:numRef>
          </c:val>
          <c:smooth val="0"/>
          <c:extLst>
            <c:ext xmlns:c16="http://schemas.microsoft.com/office/drawing/2014/chart" uri="{C3380CC4-5D6E-409C-BE32-E72D297353CC}">
              <c16:uniqueId val="{00000002-948A-4CAA-9FB6-B1D07450D784}"/>
            </c:ext>
          </c:extLst>
        </c:ser>
        <c:dLbls>
          <c:showLegendKey val="0"/>
          <c:showVal val="0"/>
          <c:showCatName val="0"/>
          <c:showSerName val="0"/>
          <c:showPercent val="0"/>
          <c:showBubbleSize val="0"/>
        </c:dLbls>
        <c:marker val="1"/>
        <c:smooth val="0"/>
        <c:axId val="152766336"/>
        <c:axId val="152764800"/>
      </c:lineChart>
      <c:catAx>
        <c:axId val="154788608"/>
        <c:scaling>
          <c:orientation val="minMax"/>
        </c:scaling>
        <c:delete val="0"/>
        <c:axPos val="b"/>
        <c:numFmt formatCode="General" sourceLinked="1"/>
        <c:majorTickMark val="none"/>
        <c:minorTickMark val="none"/>
        <c:tickLblPos val="nextTo"/>
        <c:crossAx val="154790144"/>
        <c:crosses val="autoZero"/>
        <c:auto val="1"/>
        <c:lblAlgn val="ctr"/>
        <c:lblOffset val="100"/>
        <c:noMultiLvlLbl val="0"/>
      </c:catAx>
      <c:valAx>
        <c:axId val="154790144"/>
        <c:scaling>
          <c:orientation val="minMax"/>
        </c:scaling>
        <c:delete val="0"/>
        <c:axPos val="l"/>
        <c:majorGridlines/>
        <c:title>
          <c:tx>
            <c:rich>
              <a:bodyPr/>
              <a:lstStyle/>
              <a:p>
                <a:pPr>
                  <a:defRPr sz="1400"/>
                </a:pPr>
                <a:r>
                  <a:rPr lang="sv-SE" sz="1400"/>
                  <a:t>Skadeprocent</a:t>
                </a:r>
                <a:r>
                  <a:rPr lang="sv-SE" sz="1400" baseline="0"/>
                  <a:t> och/eller andelar</a:t>
                </a:r>
                <a:endParaRPr lang="sv-SE" sz="1400"/>
              </a:p>
            </c:rich>
          </c:tx>
          <c:layout>
            <c:manualLayout>
              <c:xMode val="edge"/>
              <c:yMode val="edge"/>
              <c:x val="0.14405983645107945"/>
              <c:y val="0.23231524220391997"/>
            </c:manualLayout>
          </c:layout>
          <c:overlay val="0"/>
        </c:title>
        <c:numFmt formatCode="0.0%" sourceLinked="1"/>
        <c:majorTickMark val="none"/>
        <c:minorTickMark val="none"/>
        <c:tickLblPos val="nextTo"/>
        <c:crossAx val="154788608"/>
        <c:crosses val="autoZero"/>
        <c:crossBetween val="between"/>
      </c:valAx>
      <c:valAx>
        <c:axId val="152764800"/>
        <c:scaling>
          <c:orientation val="minMax"/>
        </c:scaling>
        <c:delete val="1"/>
        <c:axPos val="r"/>
        <c:numFmt formatCode="0%" sourceLinked="1"/>
        <c:majorTickMark val="out"/>
        <c:minorTickMark val="none"/>
        <c:tickLblPos val="nextTo"/>
        <c:crossAx val="152766336"/>
        <c:crosses val="max"/>
        <c:crossBetween val="between"/>
      </c:valAx>
      <c:catAx>
        <c:axId val="152766336"/>
        <c:scaling>
          <c:orientation val="minMax"/>
        </c:scaling>
        <c:delete val="1"/>
        <c:axPos val="b"/>
        <c:numFmt formatCode="General" sourceLinked="1"/>
        <c:majorTickMark val="out"/>
        <c:minorTickMark val="none"/>
        <c:tickLblPos val="nextTo"/>
        <c:crossAx val="152764800"/>
        <c:crosses val="autoZero"/>
        <c:auto val="1"/>
        <c:lblAlgn val="ctr"/>
        <c:lblOffset val="100"/>
        <c:noMultiLvlLbl val="0"/>
      </c:catAx>
      <c:dTable>
        <c:showHorzBorder val="1"/>
        <c:showVertBorder val="1"/>
        <c:showOutline val="1"/>
        <c:showKeys val="1"/>
      </c:dTable>
    </c:plotArea>
    <c:plotVisOnly val="1"/>
    <c:dispBlanksAs val="gap"/>
    <c:showDLblsOverMax val="0"/>
  </c:chart>
  <c:printSettings>
    <c:headerFooter/>
    <c:pageMargins b="0.75" l="0.7" r="0.7" t="0.75" header="0.3" footer="0.3"/>
    <c:pageSetup/>
  </c:printSettings>
</c:chartSpace>
</file>

<file path=xl/ctrlProps/ctrlProp1.xml><?xml version="1.0" encoding="utf-8"?>
<formControlPr xmlns="http://schemas.microsoft.com/office/spreadsheetml/2009/9/main" objectType="CheckBox" checked="Checked" fmlaLink="Utdata!$JP$2" lockText="1"/>
</file>

<file path=xl/ctrlProps/ctrlProp2.xml><?xml version="1.0" encoding="utf-8"?>
<formControlPr xmlns="http://schemas.microsoft.com/office/spreadsheetml/2009/9/main" objectType="CheckBox" checked="Checked" fmlaLink="Utdata!$EL$2" lockText="1"/>
</file>

<file path=xl/ctrlProps/ctrlProp3.xml><?xml version="1.0" encoding="utf-8"?>
<formControlPr xmlns="http://schemas.microsoft.com/office/spreadsheetml/2009/9/main" objectType="CheckBox" fmlaLink="Utdata!$EM$2" lockText="1"/>
</file>

<file path=xl/ctrlProps/ctrlProp4.xml><?xml version="1.0" encoding="utf-8"?>
<formControlPr xmlns="http://schemas.microsoft.com/office/spreadsheetml/2009/9/main" objectType="CheckBox" fmlaLink="Utdata!$EN$2" lockText="1"/>
</file>

<file path=xl/ctrlProps/ctrlProp5.xml><?xml version="1.0" encoding="utf-8"?>
<formControlPr xmlns="http://schemas.microsoft.com/office/spreadsheetml/2009/9/main" objectType="CheckBox" checked="Checked" fmlaLink="Utdata!$EO$2" lockText="1"/>
</file>

<file path=xl/ctrlProps/ctrlProp6.xml><?xml version="1.0" encoding="utf-8"?>
<formControlPr xmlns="http://schemas.microsoft.com/office/spreadsheetml/2009/9/main" objectType="CheckBox" fmlaLink="Utdata!$EP$2" lockText="1"/>
</file>

<file path=xl/ctrlProps/ctrlProp7.xml><?xml version="1.0" encoding="utf-8"?>
<formControlPr xmlns="http://schemas.microsoft.com/office/spreadsheetml/2009/9/main" objectType="CheckBox" fmlaLink="Utdata!$EQ$2" lockText="1"/>
</file>

<file path=xl/ctrlProps/ctrlProp8.xml><?xml version="1.0" encoding="utf-8"?>
<formControlPr xmlns="http://schemas.microsoft.com/office/spreadsheetml/2009/9/main" objectType="CheckBox" fmlaLink="Utdata!$EU$2" lockText="1"/>
</file>

<file path=xl/ctrlProps/ctrlProp9.xml><?xml version="1.0" encoding="utf-8"?>
<formControlPr xmlns="http://schemas.microsoft.com/office/spreadsheetml/2009/9/main" objectType="CheckBox" fmlaLink="Utdata!$EV$2" lockText="1"/>
</file>

<file path=xl/ctrlProps/ctrlProp10.xml><?xml version="1.0" encoding="utf-8"?>
<formControlPr xmlns="http://schemas.microsoft.com/office/spreadsheetml/2009/9/main" objectType="CheckBox" checked="Checked" fmlaLink="Utdata!$EW$2" lockText="1"/>
</file>

<file path=xl/ctrlProps/ctrlProp11.xml><?xml version="1.0" encoding="utf-8"?>
<formControlPr xmlns="http://schemas.microsoft.com/office/spreadsheetml/2009/9/main" objectType="CheckBox" checked="Checked" fmlaLink="Utdata!$ER$2" lockText="1"/>
</file>

<file path=xl/ctrlProps/ctrlProp12.xml><?xml version="1.0" encoding="utf-8"?>
<formControlPr xmlns="http://schemas.microsoft.com/office/spreadsheetml/2009/9/main" objectType="CheckBox" fmlaLink="Utdata!$ES$2" lockText="1"/>
</file>

<file path=xl/ctrlProps/ctrlProp13.xml><?xml version="1.0" encoding="utf-8"?>
<formControlPr xmlns="http://schemas.microsoft.com/office/spreadsheetml/2009/9/main" objectType="CheckBox" fmlaLink="Utdata!$ET$2" lockText="1"/>
</file>

<file path=xl/ctrlProps/ctrlProp14.xml><?xml version="1.0" encoding="utf-8"?>
<formControlPr xmlns="http://schemas.microsoft.com/office/spreadsheetml/2009/9/main" objectType="CheckBox" fmlaLink="Utdata!$EB$2" lockText="1"/>
</file>

<file path=xl/ctrlProps/ctrlProp15.xml><?xml version="1.0" encoding="utf-8"?>
<formControlPr xmlns="http://schemas.microsoft.com/office/spreadsheetml/2009/9/main" objectType="CheckBox" fmlaLink="Utdata!$EC$2" lockText="1"/>
</file>

<file path=xl/ctrlProps/ctrlProp16.xml><?xml version="1.0" encoding="utf-8"?>
<formControlPr xmlns="http://schemas.microsoft.com/office/spreadsheetml/2009/9/main" objectType="CheckBox" checked="Checked" fmlaLink="Utdata!$ED$2" lockText="1"/>
</file>

<file path=xl/ctrlProps/ctrlProp17.xml><?xml version="1.0" encoding="utf-8"?>
<formControlPr xmlns="http://schemas.microsoft.com/office/spreadsheetml/2009/9/main" objectType="CheckBox" fmlaLink="Utdata!$FO$2" lockText="1"/>
</file>

<file path=xl/ctrlProps/ctrlProp18.xml><?xml version="1.0" encoding="utf-8"?>
<formControlPr xmlns="http://schemas.microsoft.com/office/spreadsheetml/2009/9/main" objectType="CheckBox" checked="Checked" fmlaLink="Utdata!$FP$2" lockText="1"/>
</file>

<file path=xl/ctrlProps/ctrlProp19.xml><?xml version="1.0" encoding="utf-8"?>
<formControlPr xmlns="http://schemas.microsoft.com/office/spreadsheetml/2009/9/main" objectType="CheckBox" fmlaLink="Utdata!$FQ$2" lockText="1"/>
</file>

<file path=xl/ctrlProps/ctrlProp20.xml><?xml version="1.0" encoding="utf-8"?>
<formControlPr xmlns="http://schemas.microsoft.com/office/spreadsheetml/2009/9/main" objectType="CheckBox" checked="Checked" fmlaLink="Utdata!$GL$2" lockText="1"/>
</file>

<file path=xl/ctrlProps/ctrlProp21.xml><?xml version="1.0" encoding="utf-8"?>
<formControlPr xmlns="http://schemas.microsoft.com/office/spreadsheetml/2009/9/main" objectType="CheckBox" fmlaLink="Utdata!$GM$2" lockText="1"/>
</file>

<file path=xl/ctrlProps/ctrlProp22.xml><?xml version="1.0" encoding="utf-8"?>
<formControlPr xmlns="http://schemas.microsoft.com/office/spreadsheetml/2009/9/main" objectType="CheckBox" checked="Checked" fmlaLink="Utdata!$GN$2" lockText="1"/>
</file>

<file path=xl/ctrlProps/ctrlProp23.xml><?xml version="1.0" encoding="utf-8"?>
<formControlPr xmlns="http://schemas.microsoft.com/office/spreadsheetml/2009/9/main" objectType="CheckBox" fmlaLink="Utdata!$GO$2" lockText="1"/>
</file>

<file path=xl/ctrlProps/ctrlProp24.xml><?xml version="1.0" encoding="utf-8"?>
<formControlPr xmlns="http://schemas.microsoft.com/office/spreadsheetml/2009/9/main" objectType="CheckBox" fmlaLink="Utdata!$GU$2" lockText="1"/>
</file>

<file path=xl/ctrlProps/ctrlProp25.xml><?xml version="1.0" encoding="utf-8"?>
<formControlPr xmlns="http://schemas.microsoft.com/office/spreadsheetml/2009/9/main" objectType="CheckBox" checked="Checked" fmlaLink="Utdata!$GT$2" lockText="1"/>
</file>

<file path=xl/ctrlProps/ctrlProp26.xml><?xml version="1.0" encoding="utf-8"?>
<formControlPr xmlns="http://schemas.microsoft.com/office/spreadsheetml/2009/9/main" objectType="CheckBox" fmlaLink="Utdata!$JY$2" lockText="1"/>
</file>

<file path=xl/ctrlProps/ctrlProp27.xml><?xml version="1.0" encoding="utf-8"?>
<formControlPr xmlns="http://schemas.microsoft.com/office/spreadsheetml/2009/9/main" objectType="CheckBox" fmlaLink="Utdata!$JX$2" lockText="1"/>
</file>

<file path=xl/ctrlProps/ctrlProp28.xml><?xml version="1.0" encoding="utf-8"?>
<formControlPr xmlns="http://schemas.microsoft.com/office/spreadsheetml/2009/9/main" objectType="CheckBox" fmlaLink="Utdata!$JZ$2" lockText="1"/>
</file>

<file path=xl/ctrlProps/ctrlProp29.xml><?xml version="1.0" encoding="utf-8"?>
<formControlPr xmlns="http://schemas.microsoft.com/office/spreadsheetml/2009/9/main" objectType="CheckBox" checked="Checked" fmlaLink="Utdata!$KA$2" lockText="1"/>
</file>

<file path=xl/ctrlProps/ctrlProp30.xml><?xml version="1.0" encoding="utf-8"?>
<formControlPr xmlns="http://schemas.microsoft.com/office/spreadsheetml/2009/9/main" objectType="CheckBox" checked="Checked" fmlaLink="Utdata!$KB$2" lockText="1"/>
</file>

<file path=xl/ctrlProps/ctrlProp31.xml><?xml version="1.0" encoding="utf-8"?>
<formControlPr xmlns="http://schemas.microsoft.com/office/spreadsheetml/2009/9/main" objectType="CheckBox" checked="Checked" fmlaLink="Utdata!$KC$2" lockText="1"/>
</file>

<file path=xl/ctrlProps/ctrlProp32.xml><?xml version="1.0" encoding="utf-8"?>
<formControlPr xmlns="http://schemas.microsoft.com/office/spreadsheetml/2009/9/main" objectType="CheckBox" fmlaLink="Utdata!$KD$2" lockText="1"/>
</file>

<file path=xl/ctrlProps/ctrlProp33.xml><?xml version="1.0" encoding="utf-8"?>
<formControlPr xmlns="http://schemas.microsoft.com/office/spreadsheetml/2009/9/main" objectType="CheckBox" fmlaLink="Utdata!$KE$2" lockText="1"/>
</file>

<file path=xl/ctrlProps/ctrlProp34.xml><?xml version="1.0" encoding="utf-8"?>
<formControlPr xmlns="http://schemas.microsoft.com/office/spreadsheetml/2009/9/main" objectType="CheckBox" fmlaLink="Utdata!$KF$2" lockText="1"/>
</file>

<file path=xl/ctrlProps/ctrlProp35.xml><?xml version="1.0" encoding="utf-8"?>
<formControlPr xmlns="http://schemas.microsoft.com/office/spreadsheetml/2009/9/main" objectType="CheckBox" checked="Checked" fmlaLink="Utdata!$KG$2" lockText="1"/>
</file>

<file path=xl/ctrlProps/ctrlProp36.xml><?xml version="1.0" encoding="utf-8"?>
<formControlPr xmlns="http://schemas.microsoft.com/office/spreadsheetml/2009/9/main" objectType="CheckBox" checked="Checked" fmlaLink="Utdata!$KH$2" lockText="1"/>
</file>

<file path=xl/ctrlProps/ctrlProp37.xml><?xml version="1.0" encoding="utf-8"?>
<formControlPr xmlns="http://schemas.microsoft.com/office/spreadsheetml/2009/9/main" objectType="CheckBox" checked="Checked" fmlaLink="Utdata!$KI$2" lockText="1"/>
</file>

<file path=xl/ctrlProps/ctrlProp38.xml><?xml version="1.0" encoding="utf-8"?>
<formControlPr xmlns="http://schemas.microsoft.com/office/spreadsheetml/2009/9/main" objectType="CheckBox" checked="Checked" fmlaLink="Utdata!$KJ$2" lockText="1"/>
</file>

<file path=xl/ctrlProps/ctrlProp39.xml><?xml version="1.0" encoding="utf-8"?>
<formControlPr xmlns="http://schemas.microsoft.com/office/spreadsheetml/2009/9/main" objectType="CheckBox" checked="Checked" fmlaLink="Utdata!$KK$2" lockText="1"/>
</file>

<file path=xl/ctrlProps/ctrlProp40.xml><?xml version="1.0" encoding="utf-8"?>
<formControlPr xmlns="http://schemas.microsoft.com/office/spreadsheetml/2009/9/main" objectType="CheckBox" checked="Checked" fmlaLink="Utdata!$KL$2" lockText="1"/>
</file>

<file path=xl/ctrlProps/ctrlProp41.xml><?xml version="1.0" encoding="utf-8"?>
<formControlPr xmlns="http://schemas.microsoft.com/office/spreadsheetml/2009/9/main" objectType="CheckBox" checked="Checked" fmlaLink="Utdata!$KM$2" lockText="1"/>
</file>

<file path=xl/ctrlProps/ctrlProp42.xml><?xml version="1.0" encoding="utf-8"?>
<formControlPr xmlns="http://schemas.microsoft.com/office/spreadsheetml/2009/9/main" objectType="CheckBox" checked="Checked" fmlaLink="Utdata!$KN$2" lockText="1"/>
</file>

<file path=xl/ctrlProps/ctrlProp43.xml><?xml version="1.0" encoding="utf-8"?>
<formControlPr xmlns="http://schemas.microsoft.com/office/spreadsheetml/2009/9/main" objectType="CheckBox" checked="Checked" fmlaLink="Utdata!$KO$2" lockText="1"/>
</file>

<file path=xl/ctrlProps/ctrlProp44.xml><?xml version="1.0" encoding="utf-8"?>
<formControlPr xmlns="http://schemas.microsoft.com/office/spreadsheetml/2009/9/main" objectType="CheckBox" fmlaLink="Utdata!$KP$2" lockText="1"/>
</file>

<file path=xl/ctrlProps/ctrlProp45.xml><?xml version="1.0" encoding="utf-8"?>
<formControlPr xmlns="http://schemas.microsoft.com/office/spreadsheetml/2009/9/main" objectType="CheckBox" fmlaLink="Utdata!$KQ$2" lockText="1"/>
</file>

<file path=xl/ctrlProps/ctrlProp46.xml><?xml version="1.0" encoding="utf-8"?>
<formControlPr xmlns="http://schemas.microsoft.com/office/spreadsheetml/2009/9/main" objectType="CheckBox" fmlaLink="Utdata!$KR$2" lockText="1"/>
</file>

<file path=xl/ctrlProps/ctrlProp47.xml><?xml version="1.0" encoding="utf-8"?>
<formControlPr xmlns="http://schemas.microsoft.com/office/spreadsheetml/2009/9/main" objectType="CheckBox" checked="Checked" fmlaLink="Utdata!$AI$2" lockText="1"/>
</file>

<file path=xl/ctrlProps/ctrlProp48.xml><?xml version="1.0" encoding="utf-8"?>
<formControlPr xmlns="http://schemas.microsoft.com/office/spreadsheetml/2009/9/main" objectType="CheckBox" fmlaLink="Utdata!$AJ$2" lockText="1"/>
</file>

<file path=xl/ctrlProps/ctrlProp49.xml><?xml version="1.0" encoding="utf-8"?>
<formControlPr xmlns="http://schemas.microsoft.com/office/spreadsheetml/2009/9/main" objectType="CheckBox" fmlaLink="Utdata!$AK$2" lockText="1"/>
</file>

<file path=xl/ctrlProps/ctrlProp50.xml><?xml version="1.0" encoding="utf-8"?>
<formControlPr xmlns="http://schemas.microsoft.com/office/spreadsheetml/2009/9/main" objectType="CheckBox" checked="Checked" fmlaLink="Utdata!$B$2" lockText="1"/>
</file>

<file path=xl/ctrlProps/ctrlProp51.xml><?xml version="1.0" encoding="utf-8"?>
<formControlPr xmlns="http://schemas.microsoft.com/office/spreadsheetml/2009/9/main" objectType="CheckBox" fmlaLink="Utdata!$C$2" lockText="1"/>
</file>

<file path=xl/ctrlProps/ctrlProp52.xml><?xml version="1.0" encoding="utf-8"?>
<formControlPr xmlns="http://schemas.microsoft.com/office/spreadsheetml/2009/9/main" objectType="CheckBox" fmlaLink="Utdata!$D$2" lockText="1"/>
</file>

<file path=xl/ctrlProps/ctrlProp53.xml><?xml version="1.0" encoding="utf-8"?>
<formControlPr xmlns="http://schemas.microsoft.com/office/spreadsheetml/2009/9/main" objectType="CheckBox" checked="Checked" fmlaLink="Utdata!$E$2" lockText="1"/>
</file>

<file path=xl/ctrlProps/ctrlProp54.xml><?xml version="1.0" encoding="utf-8"?>
<formControlPr xmlns="http://schemas.microsoft.com/office/spreadsheetml/2009/9/main" objectType="CheckBox" fmlaLink="Utdata!$F$2" lockText="1"/>
</file>

<file path=xl/ctrlProps/ctrlProp55.xml><?xml version="1.0" encoding="utf-8"?>
<formControlPr xmlns="http://schemas.microsoft.com/office/spreadsheetml/2009/9/main" objectType="CheckBox" lockText="1"/>
</file>

<file path=xl/ctrlProps/ctrlProp56.xml><?xml version="1.0" encoding="utf-8"?>
<formControlPr xmlns="http://schemas.microsoft.com/office/spreadsheetml/2009/9/main" objectType="CheckBox" lockText="1"/>
</file>

<file path=xl/ctrlProps/ctrlProp57.xml><?xml version="1.0" encoding="utf-8"?>
<formControlPr xmlns="http://schemas.microsoft.com/office/spreadsheetml/2009/9/main" objectType="CheckBox" fmlaLink="Utdata!$JQ$2" lockText="1" noThreeD="1"/>
</file>

<file path=xl/ctrlProps/ctrlProp58.xml><?xml version="1.0" encoding="utf-8"?>
<formControlPr xmlns="http://schemas.microsoft.com/office/spreadsheetml/2009/9/main" objectType="Drop" dropLines="5" dropStyle="combo" dx="22" fmlaRange="Faktorer!$B$3:$B$7" noThreeD="1" sel="1" val="0"/>
</file>

<file path=xl/ctrlProps/ctrlProp59.xml><?xml version="1.0" encoding="utf-8"?>
<formControlPr xmlns="http://schemas.microsoft.com/office/spreadsheetml/2009/9/main" objectType="Drop" dropLines="5" dropStyle="combo" dx="22" fmlaRange="Faktorer!$B$3:$B$7" noThreeD="1" sel="1" val="0"/>
</file>

<file path=xl/ctrlProps/ctrlProp60.xml><?xml version="1.0" encoding="utf-8"?>
<formControlPr xmlns="http://schemas.microsoft.com/office/spreadsheetml/2009/9/main" objectType="Drop" dropLines="5" dropStyle="combo" dx="22" fmlaRange="Faktorer!$B$3:$B$7" noThreeD="1" sel="1" val="0"/>
</file>

<file path=xl/ctrlProps/ctrlProp61.xml><?xml version="1.0" encoding="utf-8"?>
<formControlPr xmlns="http://schemas.microsoft.com/office/spreadsheetml/2009/9/main" objectType="Drop" dropLines="5" dropStyle="combo" dx="22" fmlaRange="Faktorer!$B$3:$B$7" noThreeD="1" sel="1" val="0"/>
</file>

<file path=xl/ctrlProps/ctrlProp62.xml><?xml version="1.0" encoding="utf-8"?>
<formControlPr xmlns="http://schemas.microsoft.com/office/spreadsheetml/2009/9/main" objectType="Drop" dropLines="5" dropStyle="combo" dx="22" fmlaRange="Faktorer!$B$3:$B$7" noThreeD="1" sel="1" val="0"/>
</file>

<file path=xl/ctrlProps/ctrlProp63.xml><?xml version="1.0" encoding="utf-8"?>
<formControlPr xmlns="http://schemas.microsoft.com/office/spreadsheetml/2009/9/main" objectType="Drop" dropLines="5" dropStyle="combo" dx="22" fmlaRange="Faktorer!$B$3:$B$7" noThreeD="1" sel="1" val="0"/>
</file>

<file path=xl/ctrlProps/ctrlProp64.xml><?xml version="1.0" encoding="utf-8"?>
<formControlPr xmlns="http://schemas.microsoft.com/office/spreadsheetml/2009/9/main" objectType="Drop" dropLines="5" dropStyle="combo" dx="22" fmlaRange="Faktorer!$B$3:$B$7" noThreeD="1" sel="1" val="0"/>
</file>

<file path=xl/ctrlProps/ctrlProp65.xml><?xml version="1.0" encoding="utf-8"?>
<formControlPr xmlns="http://schemas.microsoft.com/office/spreadsheetml/2009/9/main" objectType="Drop" dropLines="5" dropStyle="combo" dx="22" fmlaRange="Faktorer!$B$3:$B$7" noThreeD="1" sel="1" val="0"/>
</file>

<file path=xl/ctrlProps/ctrlProp66.xml><?xml version="1.0" encoding="utf-8"?>
<formControlPr xmlns="http://schemas.microsoft.com/office/spreadsheetml/2009/9/main" objectType="Drop" dropLines="5" dropStyle="combo" dx="22" fmlaRange="Faktorer!$B$3:$B$7" noThreeD="1" sel="1" val="0"/>
</file>

<file path=xl/ctrlProps/ctrlProp67.xml><?xml version="1.0" encoding="utf-8"?>
<formControlPr xmlns="http://schemas.microsoft.com/office/spreadsheetml/2009/9/main" objectType="Drop" dropLines="5" dropStyle="combo" dx="22" fmlaRange="Faktorer!$B$3:$B$7" noThreeD="1" sel="1" val="0"/>
</file>

<file path=xl/ctrlProps/ctrlProp68.xml><?xml version="1.0" encoding="utf-8"?>
<formControlPr xmlns="http://schemas.microsoft.com/office/spreadsheetml/2009/9/main" objectType="Drop" dropLines="5" dropStyle="combo" dx="22" fmlaRange="Faktorer!$B$3:$B$7" noThreeD="1" sel="1" val="0"/>
</file>

<file path=xl/ctrlProps/ctrlProp69.xml><?xml version="1.0" encoding="utf-8"?>
<formControlPr xmlns="http://schemas.microsoft.com/office/spreadsheetml/2009/9/main" objectType="Drop" dropLines="5" dropStyle="combo" dx="22" fmlaRange="Faktorer!$B$3:$B$7" noThreeD="1" sel="1" val="0"/>
</file>

<file path=xl/ctrlProps/ctrlProp70.xml><?xml version="1.0" encoding="utf-8"?>
<formControlPr xmlns="http://schemas.microsoft.com/office/spreadsheetml/2009/9/main" objectType="Drop" dropLines="5" dropStyle="combo" dx="22" fmlaRange="$B$3:$B$7" noThreeD="1" sel="0" val="0"/>
</file>

<file path=xl/ctrlProps/ctrlProp71.xml><?xml version="1.0" encoding="utf-8"?>
<formControlPr xmlns="http://schemas.microsoft.com/office/spreadsheetml/2009/9/main" objectType="Drop" dropLines="5" dropStyle="combo" dx="22" fmlaRange="$B$3:$B$7" noThreeD="1" sel="0" val="0"/>
</file>

<file path=xl/ctrlProps/ctrlProp72.xml><?xml version="1.0" encoding="utf-8"?>
<formControlPr xmlns="http://schemas.microsoft.com/office/spreadsheetml/2009/9/main" objectType="CheckBox" fmlaLink="$T$3" lockText="1"/>
</file>

<file path=xl/ctrlProps/ctrlProp73.xml><?xml version="1.0" encoding="utf-8"?>
<formControlPr xmlns="http://schemas.microsoft.com/office/spreadsheetml/2009/9/main" objectType="CheckBox" fmlaLink="$T$4" lockText="1"/>
</file>

<file path=xl/ctrlProps/ctrlProp74.xml><?xml version="1.0" encoding="utf-8"?>
<formControlPr xmlns="http://schemas.microsoft.com/office/spreadsheetml/2009/9/main" objectType="CheckBox" fmlaLink="$T$5" lockText="1"/>
</file>

<file path=xl/ctrlProps/ctrlProp75.xml><?xml version="1.0" encoding="utf-8"?>
<formControlPr xmlns="http://schemas.microsoft.com/office/spreadsheetml/2009/9/main" objectType="CheckBox" fmlaLink="$T$6" lockText="1"/>
</file>

<file path=xl/ctrlProps/ctrlProp76.xml><?xml version="1.0" encoding="utf-8"?>
<formControlPr xmlns="http://schemas.microsoft.com/office/spreadsheetml/2009/9/main" objectType="CheckBox" fmlaLink="$T$7" lockText="1"/>
</file>

<file path=xl/ctrlProps/ctrlProp77.xml><?xml version="1.0" encoding="utf-8"?>
<formControlPr xmlns="http://schemas.microsoft.com/office/spreadsheetml/2009/9/main" objectType="CheckBox" fmlaLink="$T$8" lockText="1"/>
</file>

<file path=xl/ctrlProps/ctrlProp78.xml><?xml version="1.0" encoding="utf-8"?>
<formControlPr xmlns="http://schemas.microsoft.com/office/spreadsheetml/2009/9/main" objectType="CheckBox" fmlaLink="$T$9" lockText="1"/>
</file>

<file path=xl/ctrlProps/ctrlProp79.xml><?xml version="1.0" encoding="utf-8"?>
<formControlPr xmlns="http://schemas.microsoft.com/office/spreadsheetml/2009/9/main" objectType="CheckBox" fmlaLink="$T$9" lockText="1"/>
</file>

<file path=xl/ctrlProps/ctrlProp80.xml><?xml version="1.0" encoding="utf-8"?>
<formControlPr xmlns="http://schemas.microsoft.com/office/spreadsheetml/2009/9/main" objectType="CheckBox" fmlaLink="$T$9" lockText="1"/>
</file>

<file path=xl/ctrlProps/ctrlProp81.xml><?xml version="1.0" encoding="utf-8"?>
<formControlPr xmlns="http://schemas.microsoft.com/office/spreadsheetml/2009/9/main" objectType="CheckBox" fmlaLink="$T$10" lockText="1"/>
</file>

<file path=xl/ctrlProps/ctrlProp82.xml><?xml version="1.0" encoding="utf-8"?>
<formControlPr xmlns="http://schemas.microsoft.com/office/spreadsheetml/2009/9/main" objectType="CheckBox" fmlaLink="$T$9" lockText="1"/>
</file>

<file path=xl/ctrlProps/ctrlProp83.xml><?xml version="1.0" encoding="utf-8"?>
<formControlPr xmlns="http://schemas.microsoft.com/office/spreadsheetml/2009/9/main" objectType="CheckBox" fmlaLink="$T$8" lockText="1"/>
</file>

<file path=xl/ctrlProps/ctrlProp84.xml><?xml version="1.0" encoding="utf-8"?>
<formControlPr xmlns="http://schemas.microsoft.com/office/spreadsheetml/2009/9/main" objectType="CheckBox" fmlaLink="$T$11" lockText="1"/>
</file>

<file path=xl/ctrlProps/ctrlProp85.xml><?xml version="1.0" encoding="utf-8"?>
<formControlPr xmlns="http://schemas.microsoft.com/office/spreadsheetml/2009/9/main" objectType="CheckBox" fmlaLink="$T$9" lockText="1"/>
</file>

<file path=xl/ctrlProps/ctrlProp86.xml><?xml version="1.0" encoding="utf-8"?>
<formControlPr xmlns="http://schemas.microsoft.com/office/spreadsheetml/2009/9/main" objectType="CheckBox" fmlaLink="$T$12" lockText="1"/>
</file>

<file path=xl/ctrlProps/ctrlProp87.xml><?xml version="1.0" encoding="utf-8"?>
<formControlPr xmlns="http://schemas.microsoft.com/office/spreadsheetml/2009/9/main" objectType="CheckBox" fmlaLink="$T$27" lockText="1"/>
</file>

<file path=xl/ctrlProps/ctrlProp88.xml><?xml version="1.0" encoding="utf-8"?>
<formControlPr xmlns="http://schemas.microsoft.com/office/spreadsheetml/2009/9/main" objectType="CheckBox" fmlaLink="$T$28" lockText="1"/>
</file>

<file path=xl/ctrlProps/ctrlProp89.xml><?xml version="1.0" encoding="utf-8"?>
<formControlPr xmlns="http://schemas.microsoft.com/office/spreadsheetml/2009/9/main" objectType="CheckBox" fmlaLink="$T$29" lockText="1"/>
</file>

<file path=xl/ctrlProps/ctrlProp90.xml><?xml version="1.0" encoding="utf-8"?>
<formControlPr xmlns="http://schemas.microsoft.com/office/spreadsheetml/2009/9/main" objectType="CheckBox" fmlaLink="$T$30" lockText="1"/>
</file>

<file path=xl/ctrlProps/ctrlProp91.xml><?xml version="1.0" encoding="utf-8"?>
<formControlPr xmlns="http://schemas.microsoft.com/office/spreadsheetml/2009/9/main" objectType="CheckBox" fmlaLink="$T$31" lockText="1"/>
</file>

<file path=xl/ctrlProps/ctrlProp92.xml><?xml version="1.0" encoding="utf-8"?>
<formControlPr xmlns="http://schemas.microsoft.com/office/spreadsheetml/2009/9/main" objectType="CheckBox" fmlaLink="$T$32" lockText="1"/>
</file>

<file path=xl/ctrlProps/ctrlProp93.xml><?xml version="1.0" encoding="utf-8"?>
<formControlPr xmlns="http://schemas.microsoft.com/office/spreadsheetml/2009/9/main" objectType="CheckBox" fmlaLink="$T$9" lockText="1"/>
</file>

<file path=xl/ctrlProps/ctrlProp94.xml><?xml version="1.0" encoding="utf-8"?>
<formControlPr xmlns="http://schemas.microsoft.com/office/spreadsheetml/2009/9/main" objectType="CheckBox" fmlaLink="$T$33" lockText="1"/>
</file>

<file path=xl/ctrlProps/ctrlProp95.xml><?xml version="1.0" encoding="utf-8"?>
<formControlPr xmlns="http://schemas.microsoft.com/office/spreadsheetml/2009/9/main" objectType="CheckBox" fmlaLink="$T$9" lockText="1"/>
</file>

<file path=xl/ctrlProps/ctrlProp96.xml><?xml version="1.0" encoding="utf-8"?>
<formControlPr xmlns="http://schemas.microsoft.com/office/spreadsheetml/2009/9/main" objectType="CheckBox" fmlaLink="$T$34" lockText="1"/>
</file>

<file path=xl/ctrlProps/ctrlProp97.xml><?xml version="1.0" encoding="utf-8"?>
<formControlPr xmlns="http://schemas.microsoft.com/office/spreadsheetml/2009/9/main" objectType="CheckBox" fmlaLink="$T$9" lockText="1"/>
</file>

<file path=xl/ctrlProps/ctrlProp98.xml><?xml version="1.0" encoding="utf-8"?>
<formControlPr xmlns="http://schemas.microsoft.com/office/spreadsheetml/2009/9/main" objectType="CheckBox" fmlaLink="$T$8" lockText="1"/>
</file>

<file path=xl/ctrlProps/ctrlProp99.xml><?xml version="1.0" encoding="utf-8"?>
<formControlPr xmlns="http://schemas.microsoft.com/office/spreadsheetml/2009/9/main" objectType="CheckBox" fmlaLink="$T$35" lockText="1"/>
</file>

<file path=xl/ctrlProps/ctrlProp100.xml><?xml version="1.0" encoding="utf-8"?>
<formControlPr xmlns="http://schemas.microsoft.com/office/spreadsheetml/2009/9/main" objectType="CheckBox" fmlaLink="$T$9" lockText="1"/>
</file>

<file path=xl/ctrlProps/ctrlProp101.xml><?xml version="1.0" encoding="utf-8"?>
<formControlPr xmlns="http://schemas.microsoft.com/office/spreadsheetml/2009/9/main" objectType="CheckBox" fmlaLink="$T$36" lockText="1"/>
</file>

<file path=xl/ctrlProps/ctrlProp102.xml><?xml version="1.0" encoding="utf-8"?>
<formControlPr xmlns="http://schemas.microsoft.com/office/spreadsheetml/2009/9/main" objectType="CheckBox" fmlaLink="$T$51" lockText="1"/>
</file>

<file path=xl/ctrlProps/ctrlProp103.xml><?xml version="1.0" encoding="utf-8"?>
<formControlPr xmlns="http://schemas.microsoft.com/office/spreadsheetml/2009/9/main" objectType="CheckBox" fmlaLink="$T$52" lockText="1"/>
</file>

<file path=xl/ctrlProps/ctrlProp104.xml><?xml version="1.0" encoding="utf-8"?>
<formControlPr xmlns="http://schemas.microsoft.com/office/spreadsheetml/2009/9/main" objectType="CheckBox" fmlaLink="$T$53" lockText="1"/>
</file>

<file path=xl/ctrlProps/ctrlProp105.xml><?xml version="1.0" encoding="utf-8"?>
<formControlPr xmlns="http://schemas.microsoft.com/office/spreadsheetml/2009/9/main" objectType="CheckBox" fmlaLink="$T$54" lockText="1"/>
</file>

<file path=xl/ctrlProps/ctrlProp106.xml><?xml version="1.0" encoding="utf-8"?>
<formControlPr xmlns="http://schemas.microsoft.com/office/spreadsheetml/2009/9/main" objectType="CheckBox" fmlaLink="$T$55" lockText="1"/>
</file>

<file path=xl/ctrlProps/ctrlProp107.xml><?xml version="1.0" encoding="utf-8"?>
<formControlPr xmlns="http://schemas.microsoft.com/office/spreadsheetml/2009/9/main" objectType="CheckBox" fmlaLink="$T$56" lockText="1"/>
</file>

<file path=xl/ctrlProps/ctrlProp108.xml><?xml version="1.0" encoding="utf-8"?>
<formControlPr xmlns="http://schemas.microsoft.com/office/spreadsheetml/2009/9/main" objectType="CheckBox" fmlaLink="$T$9" lockText="1"/>
</file>

<file path=xl/ctrlProps/ctrlProp109.xml><?xml version="1.0" encoding="utf-8"?>
<formControlPr xmlns="http://schemas.microsoft.com/office/spreadsheetml/2009/9/main" objectType="CheckBox" fmlaLink="$T$57" lockText="1"/>
</file>

<file path=xl/ctrlProps/ctrlProp110.xml><?xml version="1.0" encoding="utf-8"?>
<formControlPr xmlns="http://schemas.microsoft.com/office/spreadsheetml/2009/9/main" objectType="CheckBox" fmlaLink="$T$9" lockText="1"/>
</file>

<file path=xl/ctrlProps/ctrlProp111.xml><?xml version="1.0" encoding="utf-8"?>
<formControlPr xmlns="http://schemas.microsoft.com/office/spreadsheetml/2009/9/main" objectType="CheckBox" fmlaLink="$T$58" lockText="1"/>
</file>

<file path=xl/ctrlProps/ctrlProp112.xml><?xml version="1.0" encoding="utf-8"?>
<formControlPr xmlns="http://schemas.microsoft.com/office/spreadsheetml/2009/9/main" objectType="CheckBox" fmlaLink="$T$9" lockText="1"/>
</file>

<file path=xl/ctrlProps/ctrlProp113.xml><?xml version="1.0" encoding="utf-8"?>
<formControlPr xmlns="http://schemas.microsoft.com/office/spreadsheetml/2009/9/main" objectType="CheckBox" fmlaLink="$T$8" lockText="1"/>
</file>

<file path=xl/ctrlProps/ctrlProp114.xml><?xml version="1.0" encoding="utf-8"?>
<formControlPr xmlns="http://schemas.microsoft.com/office/spreadsheetml/2009/9/main" objectType="CheckBox" fmlaLink="$T$59" lockText="1"/>
</file>

<file path=xl/ctrlProps/ctrlProp115.xml><?xml version="1.0" encoding="utf-8"?>
<formControlPr xmlns="http://schemas.microsoft.com/office/spreadsheetml/2009/9/main" objectType="CheckBox" fmlaLink="$T$9" lockText="1"/>
</file>

<file path=xl/ctrlProps/ctrlProp116.xml><?xml version="1.0" encoding="utf-8"?>
<formControlPr xmlns="http://schemas.microsoft.com/office/spreadsheetml/2009/9/main" objectType="CheckBox" fmlaLink="$T$60" lockText="1"/>
</file>

<file path=xl/ctrlProps/ctrlProp117.xml><?xml version="1.0" encoding="utf-8"?>
<formControlPr xmlns="http://schemas.microsoft.com/office/spreadsheetml/2009/9/main" objectType="CheckBox" fmlaLink="$T$75" lockText="1"/>
</file>

<file path=xl/ctrlProps/ctrlProp118.xml><?xml version="1.0" encoding="utf-8"?>
<formControlPr xmlns="http://schemas.microsoft.com/office/spreadsheetml/2009/9/main" objectType="CheckBox" fmlaLink="$T$76" lockText="1"/>
</file>

<file path=xl/ctrlProps/ctrlProp119.xml><?xml version="1.0" encoding="utf-8"?>
<formControlPr xmlns="http://schemas.microsoft.com/office/spreadsheetml/2009/9/main" objectType="CheckBox" fmlaLink="$T$77" lockText="1"/>
</file>

<file path=xl/ctrlProps/ctrlProp120.xml><?xml version="1.0" encoding="utf-8"?>
<formControlPr xmlns="http://schemas.microsoft.com/office/spreadsheetml/2009/9/main" objectType="CheckBox" fmlaLink="$T$78" lockText="1"/>
</file>

<file path=xl/ctrlProps/ctrlProp121.xml><?xml version="1.0" encoding="utf-8"?>
<formControlPr xmlns="http://schemas.microsoft.com/office/spreadsheetml/2009/9/main" objectType="CheckBox" fmlaLink="$T$79" lockText="1"/>
</file>

<file path=xl/ctrlProps/ctrlProp122.xml><?xml version="1.0" encoding="utf-8"?>
<formControlPr xmlns="http://schemas.microsoft.com/office/spreadsheetml/2009/9/main" objectType="CheckBox" fmlaLink="$T$80" lockText="1"/>
</file>

<file path=xl/ctrlProps/ctrlProp123.xml><?xml version="1.0" encoding="utf-8"?>
<formControlPr xmlns="http://schemas.microsoft.com/office/spreadsheetml/2009/9/main" objectType="CheckBox" fmlaLink="$T$9" lockText="1"/>
</file>

<file path=xl/ctrlProps/ctrlProp124.xml><?xml version="1.0" encoding="utf-8"?>
<formControlPr xmlns="http://schemas.microsoft.com/office/spreadsheetml/2009/9/main" objectType="CheckBox" fmlaLink="$T$81" lockText="1"/>
</file>

<file path=xl/ctrlProps/ctrlProp125.xml><?xml version="1.0" encoding="utf-8"?>
<formControlPr xmlns="http://schemas.microsoft.com/office/spreadsheetml/2009/9/main" objectType="CheckBox" fmlaLink="$T$9" lockText="1"/>
</file>

<file path=xl/ctrlProps/ctrlProp126.xml><?xml version="1.0" encoding="utf-8"?>
<formControlPr xmlns="http://schemas.microsoft.com/office/spreadsheetml/2009/9/main" objectType="CheckBox" fmlaLink="$T$82" lockText="1"/>
</file>

<file path=xl/ctrlProps/ctrlProp127.xml><?xml version="1.0" encoding="utf-8"?>
<formControlPr xmlns="http://schemas.microsoft.com/office/spreadsheetml/2009/9/main" objectType="CheckBox" fmlaLink="$T$9" lockText="1"/>
</file>

<file path=xl/ctrlProps/ctrlProp128.xml><?xml version="1.0" encoding="utf-8"?>
<formControlPr xmlns="http://schemas.microsoft.com/office/spreadsheetml/2009/9/main" objectType="CheckBox" fmlaLink="$T$8" lockText="1"/>
</file>

<file path=xl/ctrlProps/ctrlProp129.xml><?xml version="1.0" encoding="utf-8"?>
<formControlPr xmlns="http://schemas.microsoft.com/office/spreadsheetml/2009/9/main" objectType="CheckBox" fmlaLink="$T$83" lockText="1"/>
</file>

<file path=xl/ctrlProps/ctrlProp130.xml><?xml version="1.0" encoding="utf-8"?>
<formControlPr xmlns="http://schemas.microsoft.com/office/spreadsheetml/2009/9/main" objectType="CheckBox" fmlaLink="$T$9" lockText="1"/>
</file>

<file path=xl/ctrlProps/ctrlProp131.xml><?xml version="1.0" encoding="utf-8"?>
<formControlPr xmlns="http://schemas.microsoft.com/office/spreadsheetml/2009/9/main" objectType="CheckBox" fmlaLink="$T$84" lockText="1"/>
</file>

<file path=xl/ctrlProps/ctrlProp132.xml><?xml version="1.0" encoding="utf-8"?>
<formControlPr xmlns="http://schemas.microsoft.com/office/spreadsheetml/2009/9/main" objectType="CheckBox" fmlaLink="$T$99" lockText="1"/>
</file>

<file path=xl/ctrlProps/ctrlProp133.xml><?xml version="1.0" encoding="utf-8"?>
<formControlPr xmlns="http://schemas.microsoft.com/office/spreadsheetml/2009/9/main" objectType="CheckBox" fmlaLink="$T$100" lockText="1"/>
</file>

<file path=xl/ctrlProps/ctrlProp134.xml><?xml version="1.0" encoding="utf-8"?>
<formControlPr xmlns="http://schemas.microsoft.com/office/spreadsheetml/2009/9/main" objectType="CheckBox" fmlaLink="$T$101" lockText="1"/>
</file>

<file path=xl/ctrlProps/ctrlProp135.xml><?xml version="1.0" encoding="utf-8"?>
<formControlPr xmlns="http://schemas.microsoft.com/office/spreadsheetml/2009/9/main" objectType="CheckBox" fmlaLink="$T$102" lockText="1"/>
</file>

<file path=xl/ctrlProps/ctrlProp136.xml><?xml version="1.0" encoding="utf-8"?>
<formControlPr xmlns="http://schemas.microsoft.com/office/spreadsheetml/2009/9/main" objectType="CheckBox" fmlaLink="$T$103" lockText="1"/>
</file>

<file path=xl/ctrlProps/ctrlProp137.xml><?xml version="1.0" encoding="utf-8"?>
<formControlPr xmlns="http://schemas.microsoft.com/office/spreadsheetml/2009/9/main" objectType="CheckBox" fmlaLink="$T$104" lockText="1"/>
</file>

<file path=xl/ctrlProps/ctrlProp138.xml><?xml version="1.0" encoding="utf-8"?>
<formControlPr xmlns="http://schemas.microsoft.com/office/spreadsheetml/2009/9/main" objectType="CheckBox" fmlaLink="$T$9" lockText="1"/>
</file>

<file path=xl/ctrlProps/ctrlProp139.xml><?xml version="1.0" encoding="utf-8"?>
<formControlPr xmlns="http://schemas.microsoft.com/office/spreadsheetml/2009/9/main" objectType="CheckBox" fmlaLink="$T$105" lockText="1"/>
</file>

<file path=xl/ctrlProps/ctrlProp140.xml><?xml version="1.0" encoding="utf-8"?>
<formControlPr xmlns="http://schemas.microsoft.com/office/spreadsheetml/2009/9/main" objectType="CheckBox" fmlaLink="$T$9" lockText="1"/>
</file>

<file path=xl/ctrlProps/ctrlProp141.xml><?xml version="1.0" encoding="utf-8"?>
<formControlPr xmlns="http://schemas.microsoft.com/office/spreadsheetml/2009/9/main" objectType="CheckBox" fmlaLink="$T$106" lockText="1"/>
</file>

<file path=xl/ctrlProps/ctrlProp142.xml><?xml version="1.0" encoding="utf-8"?>
<formControlPr xmlns="http://schemas.microsoft.com/office/spreadsheetml/2009/9/main" objectType="CheckBox" fmlaLink="$T$9" lockText="1"/>
</file>

<file path=xl/ctrlProps/ctrlProp143.xml><?xml version="1.0" encoding="utf-8"?>
<formControlPr xmlns="http://schemas.microsoft.com/office/spreadsheetml/2009/9/main" objectType="CheckBox" fmlaLink="$T$8" lockText="1"/>
</file>

<file path=xl/ctrlProps/ctrlProp144.xml><?xml version="1.0" encoding="utf-8"?>
<formControlPr xmlns="http://schemas.microsoft.com/office/spreadsheetml/2009/9/main" objectType="CheckBox" fmlaLink="$T$107" lockText="1"/>
</file>

<file path=xl/ctrlProps/ctrlProp145.xml><?xml version="1.0" encoding="utf-8"?>
<formControlPr xmlns="http://schemas.microsoft.com/office/spreadsheetml/2009/9/main" objectType="CheckBox" fmlaLink="$T$9" lockText="1"/>
</file>

<file path=xl/ctrlProps/ctrlProp146.xml><?xml version="1.0" encoding="utf-8"?>
<formControlPr xmlns="http://schemas.microsoft.com/office/spreadsheetml/2009/9/main" objectType="CheckBox" fmlaLink="$T$108" lockText="1"/>
</file>

<file path=xl/ctrlProps/ctrlProp147.xml><?xml version="1.0" encoding="utf-8"?>
<formControlPr xmlns="http://schemas.microsoft.com/office/spreadsheetml/2009/9/main" objectType="CheckBox" fmlaLink="$T$123" lockText="1"/>
</file>

<file path=xl/ctrlProps/ctrlProp148.xml><?xml version="1.0" encoding="utf-8"?>
<formControlPr xmlns="http://schemas.microsoft.com/office/spreadsheetml/2009/9/main" objectType="CheckBox" fmlaLink="$T$124" lockText="1"/>
</file>

<file path=xl/ctrlProps/ctrlProp149.xml><?xml version="1.0" encoding="utf-8"?>
<formControlPr xmlns="http://schemas.microsoft.com/office/spreadsheetml/2009/9/main" objectType="CheckBox" fmlaLink="$T$125" lockText="1"/>
</file>

<file path=xl/ctrlProps/ctrlProp150.xml><?xml version="1.0" encoding="utf-8"?>
<formControlPr xmlns="http://schemas.microsoft.com/office/spreadsheetml/2009/9/main" objectType="CheckBox" fmlaLink="$T$126" lockText="1"/>
</file>

<file path=xl/ctrlProps/ctrlProp151.xml><?xml version="1.0" encoding="utf-8"?>
<formControlPr xmlns="http://schemas.microsoft.com/office/spreadsheetml/2009/9/main" objectType="CheckBox" fmlaLink="$T$127" lockText="1"/>
</file>

<file path=xl/ctrlProps/ctrlProp152.xml><?xml version="1.0" encoding="utf-8"?>
<formControlPr xmlns="http://schemas.microsoft.com/office/spreadsheetml/2009/9/main" objectType="CheckBox" fmlaLink="$T$128" lockText="1"/>
</file>

<file path=xl/ctrlProps/ctrlProp153.xml><?xml version="1.0" encoding="utf-8"?>
<formControlPr xmlns="http://schemas.microsoft.com/office/spreadsheetml/2009/9/main" objectType="CheckBox" fmlaLink="$T$9" lockText="1"/>
</file>

<file path=xl/ctrlProps/ctrlProp154.xml><?xml version="1.0" encoding="utf-8"?>
<formControlPr xmlns="http://schemas.microsoft.com/office/spreadsheetml/2009/9/main" objectType="CheckBox" fmlaLink="$T$129" lockText="1"/>
</file>

<file path=xl/ctrlProps/ctrlProp155.xml><?xml version="1.0" encoding="utf-8"?>
<formControlPr xmlns="http://schemas.microsoft.com/office/spreadsheetml/2009/9/main" objectType="CheckBox" fmlaLink="$T$9" lockText="1"/>
</file>

<file path=xl/ctrlProps/ctrlProp156.xml><?xml version="1.0" encoding="utf-8"?>
<formControlPr xmlns="http://schemas.microsoft.com/office/spreadsheetml/2009/9/main" objectType="CheckBox" fmlaLink="$T$130" lockText="1"/>
</file>

<file path=xl/ctrlProps/ctrlProp157.xml><?xml version="1.0" encoding="utf-8"?>
<formControlPr xmlns="http://schemas.microsoft.com/office/spreadsheetml/2009/9/main" objectType="CheckBox" fmlaLink="$T$9" lockText="1"/>
</file>

<file path=xl/ctrlProps/ctrlProp158.xml><?xml version="1.0" encoding="utf-8"?>
<formControlPr xmlns="http://schemas.microsoft.com/office/spreadsheetml/2009/9/main" objectType="CheckBox" fmlaLink="$T$8" lockText="1"/>
</file>

<file path=xl/ctrlProps/ctrlProp159.xml><?xml version="1.0" encoding="utf-8"?>
<formControlPr xmlns="http://schemas.microsoft.com/office/spreadsheetml/2009/9/main" objectType="CheckBox" fmlaLink="$T$131" lockText="1"/>
</file>

<file path=xl/ctrlProps/ctrlProp160.xml><?xml version="1.0" encoding="utf-8"?>
<formControlPr xmlns="http://schemas.microsoft.com/office/spreadsheetml/2009/9/main" objectType="CheckBox" fmlaLink="$T$9" lockText="1"/>
</file>

<file path=xl/ctrlProps/ctrlProp161.xml><?xml version="1.0" encoding="utf-8"?>
<formControlPr xmlns="http://schemas.microsoft.com/office/spreadsheetml/2009/9/main" objectType="CheckBox" fmlaLink="$T$132" lockText="1"/>
</file>

<file path=xl/ctrlProps/ctrlProp162.xml><?xml version="1.0" encoding="utf-8"?>
<formControlPr xmlns="http://schemas.microsoft.com/office/spreadsheetml/2009/9/main" objectType="CheckBox" fmlaLink="$T$9" lockText="1"/>
</file>

<file path=xl/ctrlProps/ctrlProp163.xml><?xml version="1.0" encoding="utf-8"?>
<formControlPr xmlns="http://schemas.microsoft.com/office/spreadsheetml/2009/9/main" objectType="CheckBox" fmlaLink="$T$12" lockText="1"/>
</file>

<file path=xl/ctrlProps/ctrlProp164.xml><?xml version="1.0" encoding="utf-8"?>
<formControlPr xmlns="http://schemas.microsoft.com/office/spreadsheetml/2009/9/main" objectType="CheckBox" fmlaLink="$T$9" lockText="1"/>
</file>

<file path=xl/ctrlProps/ctrlProp165.xml><?xml version="1.0" encoding="utf-8"?>
<formControlPr xmlns="http://schemas.microsoft.com/office/spreadsheetml/2009/9/main" objectType="CheckBox" fmlaLink="$T$12" lockText="1"/>
</file>

<file path=xl/ctrlProps/ctrlProp166.xml><?xml version="1.0" encoding="utf-8"?>
<formControlPr xmlns="http://schemas.microsoft.com/office/spreadsheetml/2009/9/main" objectType="CheckBox" fmlaLink="$T$9" lockText="1"/>
</file>

<file path=xl/ctrlProps/ctrlProp167.xml><?xml version="1.0" encoding="utf-8"?>
<formControlPr xmlns="http://schemas.microsoft.com/office/spreadsheetml/2009/9/main" objectType="CheckBox" fmlaLink="$T$12" lockText="1"/>
</file>

<file path=xl/ctrlProps/ctrlProp168.xml><?xml version="1.0" encoding="utf-8"?>
<formControlPr xmlns="http://schemas.microsoft.com/office/spreadsheetml/2009/9/main" objectType="CheckBox" fmlaLink="$T$9" lockText="1"/>
</file>

<file path=xl/ctrlProps/ctrlProp169.xml><?xml version="1.0" encoding="utf-8"?>
<formControlPr xmlns="http://schemas.microsoft.com/office/spreadsheetml/2009/9/main" objectType="CheckBox" fmlaLink="$T$12" lockText="1"/>
</file>

<file path=xl/ctrlProps/ctrlProp170.xml><?xml version="1.0" encoding="utf-8"?>
<formControlPr xmlns="http://schemas.microsoft.com/office/spreadsheetml/2009/9/main" objectType="CheckBox" fmlaLink="$T$9" lockText="1"/>
</file>

<file path=xl/ctrlProps/ctrlProp171.xml><?xml version="1.0" encoding="utf-8"?>
<formControlPr xmlns="http://schemas.microsoft.com/office/spreadsheetml/2009/9/main" objectType="CheckBox" fmlaLink="$T$12" lockText="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4.xml.rels><?xml version="1.0" encoding="UTF-8" standalone="yes"?>
<Relationships xmlns="http://schemas.openxmlformats.org/package/2006/relationships"><Relationship Id="rId3" Type="http://schemas.openxmlformats.org/officeDocument/2006/relationships/chart" Target="../charts/chart10.xml"/><Relationship Id="rId2" Type="http://schemas.openxmlformats.org/officeDocument/2006/relationships/chart" Target="../charts/chart9.xml"/><Relationship Id="rId1" Type="http://schemas.openxmlformats.org/officeDocument/2006/relationships/chart" Target="../charts/chart8.xml"/><Relationship Id="rId5" Type="http://schemas.openxmlformats.org/officeDocument/2006/relationships/chart" Target="../charts/chart12.xml"/><Relationship Id="rId4" Type="http://schemas.openxmlformats.org/officeDocument/2006/relationships/chart" Target="../charts/chart11.xml"/></Relationships>
</file>

<file path=xl/drawings/_rels/drawing5.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7.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8.xml.rels><?xml version="1.0" encoding="UTF-8" standalone="yes"?>
<Relationships xmlns="http://schemas.openxmlformats.org/package/2006/relationships"><Relationship Id="rId1" Type="http://schemas.openxmlformats.org/officeDocument/2006/relationships/chart" Target="../charts/chart16.xml"/></Relationships>
</file>

<file path=xl/drawings/drawing1.xml><?xml version="1.0" encoding="utf-8"?>
<xdr:wsDr xmlns:xdr="http://schemas.openxmlformats.org/drawingml/2006/spreadsheetDrawing" xmlns:a="http://schemas.openxmlformats.org/drawingml/2006/main">
  <xdr:twoCellAnchor>
    <xdr:from>
      <xdr:col>1</xdr:col>
      <xdr:colOff>0</xdr:colOff>
      <xdr:row>345</xdr:row>
      <xdr:rowOff>0</xdr:rowOff>
    </xdr:from>
    <xdr:to>
      <xdr:col>2</xdr:col>
      <xdr:colOff>9525</xdr:colOff>
      <xdr:row>345</xdr:row>
      <xdr:rowOff>0</xdr:rowOff>
    </xdr:to>
    <xdr:sp macro="" textlink="">
      <xdr:nvSpPr>
        <xdr:cNvPr id="2" name="Line 1">
          <a:extLst>
            <a:ext uri="{FF2B5EF4-FFF2-40B4-BE49-F238E27FC236}">
              <a16:creationId xmlns:a16="http://schemas.microsoft.com/office/drawing/2014/main" id="{00000000-0008-0000-0300-000002000000}"/>
            </a:ext>
          </a:extLst>
        </xdr:cNvPr>
        <xdr:cNvSpPr>
          <a:spLocks noChangeShapeType="1"/>
        </xdr:cNvSpPr>
      </xdr:nvSpPr>
      <xdr:spPr bwMode="auto">
        <a:xfrm flipV="1">
          <a:off x="2276475" y="54597300"/>
          <a:ext cx="990600" cy="0"/>
        </a:xfrm>
        <a:prstGeom prst="line">
          <a:avLst/>
        </a:prstGeom>
        <a:noFill/>
        <a:ln w="9525">
          <a:solidFill>
            <a:srgbClr val="000000"/>
          </a:solidFill>
          <a:round/>
          <a:headEnd/>
          <a:tailEnd/>
        </a:ln>
      </xdr:spPr>
    </xdr:sp>
    <xdr:clientData/>
  </xdr:twoCellAnchor>
  <xdr:twoCellAnchor>
    <xdr:from>
      <xdr:col>2</xdr:col>
      <xdr:colOff>9525</xdr:colOff>
      <xdr:row>345</xdr:row>
      <xdr:rowOff>0</xdr:rowOff>
    </xdr:from>
    <xdr:to>
      <xdr:col>3</xdr:col>
      <xdr:colOff>0</xdr:colOff>
      <xdr:row>345</xdr:row>
      <xdr:rowOff>0</xdr:rowOff>
    </xdr:to>
    <xdr:sp macro="" textlink="">
      <xdr:nvSpPr>
        <xdr:cNvPr id="3" name="Line 2">
          <a:extLst>
            <a:ext uri="{FF2B5EF4-FFF2-40B4-BE49-F238E27FC236}">
              <a16:creationId xmlns:a16="http://schemas.microsoft.com/office/drawing/2014/main" id="{00000000-0008-0000-0300-000003000000}"/>
            </a:ext>
          </a:extLst>
        </xdr:cNvPr>
        <xdr:cNvSpPr>
          <a:spLocks noChangeShapeType="1"/>
        </xdr:cNvSpPr>
      </xdr:nvSpPr>
      <xdr:spPr bwMode="auto">
        <a:xfrm flipV="1">
          <a:off x="3267075" y="54597300"/>
          <a:ext cx="971550" cy="0"/>
        </a:xfrm>
        <a:prstGeom prst="line">
          <a:avLst/>
        </a:prstGeom>
        <a:noFill/>
        <a:ln w="9525">
          <a:solidFill>
            <a:srgbClr val="000000"/>
          </a:solidFill>
          <a:round/>
          <a:headEnd/>
          <a:tailEnd/>
        </a:ln>
      </xdr:spPr>
    </xdr:sp>
    <xdr:clientData/>
  </xdr:twoCellAnchor>
  <xdr:twoCellAnchor>
    <xdr:from>
      <xdr:col>3</xdr:col>
      <xdr:colOff>9525</xdr:colOff>
      <xdr:row>345</xdr:row>
      <xdr:rowOff>0</xdr:rowOff>
    </xdr:from>
    <xdr:to>
      <xdr:col>4</xdr:col>
      <xdr:colOff>0</xdr:colOff>
      <xdr:row>345</xdr:row>
      <xdr:rowOff>0</xdr:rowOff>
    </xdr:to>
    <xdr:sp macro="" textlink="">
      <xdr:nvSpPr>
        <xdr:cNvPr id="4" name="Line 3">
          <a:extLst>
            <a:ext uri="{FF2B5EF4-FFF2-40B4-BE49-F238E27FC236}">
              <a16:creationId xmlns:a16="http://schemas.microsoft.com/office/drawing/2014/main" id="{00000000-0008-0000-0300-000004000000}"/>
            </a:ext>
          </a:extLst>
        </xdr:cNvPr>
        <xdr:cNvSpPr>
          <a:spLocks noChangeShapeType="1"/>
        </xdr:cNvSpPr>
      </xdr:nvSpPr>
      <xdr:spPr bwMode="auto">
        <a:xfrm flipV="1">
          <a:off x="4248150" y="54597300"/>
          <a:ext cx="971550" cy="0"/>
        </a:xfrm>
        <a:prstGeom prst="line">
          <a:avLst/>
        </a:prstGeom>
        <a:noFill/>
        <a:ln w="9525">
          <a:solidFill>
            <a:srgbClr val="000000"/>
          </a:solidFill>
          <a:round/>
          <a:headEnd/>
          <a:tailEnd/>
        </a:ln>
      </xdr:spPr>
    </xdr:sp>
    <xdr:clientData/>
  </xdr:twoCellAnchor>
  <xdr:twoCellAnchor editAs="oneCell">
    <xdr:from>
      <xdr:col>5</xdr:col>
      <xdr:colOff>19050</xdr:colOff>
      <xdr:row>328</xdr:row>
      <xdr:rowOff>0</xdr:rowOff>
    </xdr:from>
    <xdr:to>
      <xdr:col>7</xdr:col>
      <xdr:colOff>53340</xdr:colOff>
      <xdr:row>329</xdr:row>
      <xdr:rowOff>0</xdr:rowOff>
    </xdr:to>
    <xdr:sp macro="" textlink="">
      <xdr:nvSpPr>
        <xdr:cNvPr id="5" name="Check Box 5" descr="Beslutad av &#10;Länsstyrelsen" hidden="1">
          <a:extLst>
            <a:ext uri="{63B3BB69-23CF-44E3-9099-C40C66FF867C}">
              <a14:compatExt xmlns:a14="http://schemas.microsoft.com/office/drawing/2010/main" spid="_x0000_s1029"/>
            </a:ext>
            <a:ext uri="{FF2B5EF4-FFF2-40B4-BE49-F238E27FC236}">
              <a16:creationId xmlns:a16="http://schemas.microsoft.com/office/drawing/2014/main" id="{00000000-0008-0000-0300-000005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v-SE" sz="800" b="0" i="0" u="none" strike="noStrike" baseline="0">
              <a:solidFill>
                <a:srgbClr val="000000"/>
              </a:solidFill>
              <a:latin typeface="Tahoma"/>
              <a:ea typeface="Tahoma"/>
              <a:cs typeface="Tahoma"/>
            </a:rPr>
            <a:t>Beräkningsmodell Älgfrode (bifogas)</a:t>
          </a:r>
        </a:p>
      </xdr:txBody>
    </xdr:sp>
    <xdr:clientData fLocksWithSheet="0"/>
  </xdr:twoCellAnchor>
  <xdr:twoCellAnchor editAs="oneCell">
    <xdr:from>
      <xdr:col>1</xdr:col>
      <xdr:colOff>28575</xdr:colOff>
      <xdr:row>194</xdr:row>
      <xdr:rowOff>9525</xdr:rowOff>
    </xdr:from>
    <xdr:to>
      <xdr:col>2</xdr:col>
      <xdr:colOff>15240</xdr:colOff>
      <xdr:row>194</xdr:row>
      <xdr:rowOff>249555</xdr:rowOff>
    </xdr:to>
    <xdr:sp macro="" textlink="">
      <xdr:nvSpPr>
        <xdr:cNvPr id="6"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300-000006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28575</xdr:colOff>
      <xdr:row>194</xdr:row>
      <xdr:rowOff>9525</xdr:rowOff>
    </xdr:from>
    <xdr:to>
      <xdr:col>2</xdr:col>
      <xdr:colOff>933450</xdr:colOff>
      <xdr:row>194</xdr:row>
      <xdr:rowOff>249555</xdr:rowOff>
    </xdr:to>
    <xdr:sp macro="" textlink="">
      <xdr:nvSpPr>
        <xdr:cNvPr id="7" name="Check Box 34" hidden="1">
          <a:extLst>
            <a:ext uri="{63B3BB69-23CF-44E3-9099-C40C66FF867C}">
              <a14:compatExt xmlns:a14="http://schemas.microsoft.com/office/drawing/2010/main" spid="_x0000_s1058"/>
            </a:ext>
            <a:ext uri="{FF2B5EF4-FFF2-40B4-BE49-F238E27FC236}">
              <a16:creationId xmlns:a16="http://schemas.microsoft.com/office/drawing/2014/main" id="{00000000-0008-0000-0300-000007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28575</xdr:colOff>
      <xdr:row>194</xdr:row>
      <xdr:rowOff>9525</xdr:rowOff>
    </xdr:from>
    <xdr:to>
      <xdr:col>4</xdr:col>
      <xdr:colOff>15240</xdr:colOff>
      <xdr:row>194</xdr:row>
      <xdr:rowOff>249555</xdr:rowOff>
    </xdr:to>
    <xdr:sp macro="" textlink="">
      <xdr:nvSpPr>
        <xdr:cNvPr id="8" name="Check Box 35" hidden="1">
          <a:extLst>
            <a:ext uri="{63B3BB69-23CF-44E3-9099-C40C66FF867C}">
              <a14:compatExt xmlns:a14="http://schemas.microsoft.com/office/drawing/2010/main" spid="_x0000_s1059"/>
            </a:ext>
            <a:ext uri="{FF2B5EF4-FFF2-40B4-BE49-F238E27FC236}">
              <a16:creationId xmlns:a16="http://schemas.microsoft.com/office/drawing/2014/main" id="{00000000-0008-0000-0300-000008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28575</xdr:colOff>
      <xdr:row>195</xdr:row>
      <xdr:rowOff>9525</xdr:rowOff>
    </xdr:from>
    <xdr:to>
      <xdr:col>2</xdr:col>
      <xdr:colOff>15240</xdr:colOff>
      <xdr:row>195</xdr:row>
      <xdr:rowOff>249555</xdr:rowOff>
    </xdr:to>
    <xdr:sp macro="" textlink="">
      <xdr:nvSpPr>
        <xdr:cNvPr id="9" name="Check Box 36" hidden="1">
          <a:extLst>
            <a:ext uri="{63B3BB69-23CF-44E3-9099-C40C66FF867C}">
              <a14:compatExt xmlns:a14="http://schemas.microsoft.com/office/drawing/2010/main" spid="_x0000_s1060"/>
            </a:ext>
            <a:ext uri="{FF2B5EF4-FFF2-40B4-BE49-F238E27FC236}">
              <a16:creationId xmlns:a16="http://schemas.microsoft.com/office/drawing/2014/main" id="{00000000-0008-0000-0300-000009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28575</xdr:colOff>
      <xdr:row>195</xdr:row>
      <xdr:rowOff>9525</xdr:rowOff>
    </xdr:from>
    <xdr:to>
      <xdr:col>2</xdr:col>
      <xdr:colOff>933450</xdr:colOff>
      <xdr:row>195</xdr:row>
      <xdr:rowOff>249555</xdr:rowOff>
    </xdr:to>
    <xdr:sp macro="" textlink="">
      <xdr:nvSpPr>
        <xdr:cNvPr id="10" name="Check Box 37" hidden="1">
          <a:extLst>
            <a:ext uri="{63B3BB69-23CF-44E3-9099-C40C66FF867C}">
              <a14:compatExt xmlns:a14="http://schemas.microsoft.com/office/drawing/2010/main" spid="_x0000_s1061"/>
            </a:ext>
            <a:ext uri="{FF2B5EF4-FFF2-40B4-BE49-F238E27FC236}">
              <a16:creationId xmlns:a16="http://schemas.microsoft.com/office/drawing/2014/main" id="{00000000-0008-0000-0300-00000A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28575</xdr:colOff>
      <xdr:row>195</xdr:row>
      <xdr:rowOff>9525</xdr:rowOff>
    </xdr:from>
    <xdr:to>
      <xdr:col>4</xdr:col>
      <xdr:colOff>15240</xdr:colOff>
      <xdr:row>195</xdr:row>
      <xdr:rowOff>249555</xdr:rowOff>
    </xdr:to>
    <xdr:sp macro="" textlink="">
      <xdr:nvSpPr>
        <xdr:cNvPr id="11"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300-00000B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28575</xdr:colOff>
      <xdr:row>196</xdr:row>
      <xdr:rowOff>9525</xdr:rowOff>
    </xdr:from>
    <xdr:to>
      <xdr:col>2</xdr:col>
      <xdr:colOff>15240</xdr:colOff>
      <xdr:row>196</xdr:row>
      <xdr:rowOff>249555</xdr:rowOff>
    </xdr:to>
    <xdr:sp macro="" textlink="">
      <xdr:nvSpPr>
        <xdr:cNvPr id="12" name="Check Box 39" hidden="1">
          <a:extLst>
            <a:ext uri="{63B3BB69-23CF-44E3-9099-C40C66FF867C}">
              <a14:compatExt xmlns:a14="http://schemas.microsoft.com/office/drawing/2010/main" spid="_x0000_s1063"/>
            </a:ext>
            <a:ext uri="{FF2B5EF4-FFF2-40B4-BE49-F238E27FC236}">
              <a16:creationId xmlns:a16="http://schemas.microsoft.com/office/drawing/2014/main" id="{00000000-0008-0000-0300-00000C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28575</xdr:colOff>
      <xdr:row>196</xdr:row>
      <xdr:rowOff>9525</xdr:rowOff>
    </xdr:from>
    <xdr:to>
      <xdr:col>2</xdr:col>
      <xdr:colOff>933450</xdr:colOff>
      <xdr:row>196</xdr:row>
      <xdr:rowOff>249555</xdr:rowOff>
    </xdr:to>
    <xdr:sp macro="" textlink="">
      <xdr:nvSpPr>
        <xdr:cNvPr id="13" name="Check Box 40" hidden="1">
          <a:extLst>
            <a:ext uri="{63B3BB69-23CF-44E3-9099-C40C66FF867C}">
              <a14:compatExt xmlns:a14="http://schemas.microsoft.com/office/drawing/2010/main" spid="_x0000_s1064"/>
            </a:ext>
            <a:ext uri="{FF2B5EF4-FFF2-40B4-BE49-F238E27FC236}">
              <a16:creationId xmlns:a16="http://schemas.microsoft.com/office/drawing/2014/main" id="{00000000-0008-0000-0300-00000D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28575</xdr:colOff>
      <xdr:row>196</xdr:row>
      <xdr:rowOff>9525</xdr:rowOff>
    </xdr:from>
    <xdr:to>
      <xdr:col>4</xdr:col>
      <xdr:colOff>15240</xdr:colOff>
      <xdr:row>196</xdr:row>
      <xdr:rowOff>249555</xdr:rowOff>
    </xdr:to>
    <xdr:sp macro="" textlink="">
      <xdr:nvSpPr>
        <xdr:cNvPr id="14" name="Check Box 41" hidden="1">
          <a:extLst>
            <a:ext uri="{63B3BB69-23CF-44E3-9099-C40C66FF867C}">
              <a14:compatExt xmlns:a14="http://schemas.microsoft.com/office/drawing/2010/main" spid="_x0000_s1065"/>
            </a:ext>
            <a:ext uri="{FF2B5EF4-FFF2-40B4-BE49-F238E27FC236}">
              <a16:creationId xmlns:a16="http://schemas.microsoft.com/office/drawing/2014/main" id="{00000000-0008-0000-0300-00000E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28575</xdr:colOff>
      <xdr:row>197</xdr:row>
      <xdr:rowOff>9525</xdr:rowOff>
    </xdr:from>
    <xdr:to>
      <xdr:col>2</xdr:col>
      <xdr:colOff>15240</xdr:colOff>
      <xdr:row>197</xdr:row>
      <xdr:rowOff>249555</xdr:rowOff>
    </xdr:to>
    <xdr:sp macro="" textlink="">
      <xdr:nvSpPr>
        <xdr:cNvPr id="15" name="Check Box 42" hidden="1">
          <a:extLst>
            <a:ext uri="{63B3BB69-23CF-44E3-9099-C40C66FF867C}">
              <a14:compatExt xmlns:a14="http://schemas.microsoft.com/office/drawing/2010/main" spid="_x0000_s1066"/>
            </a:ext>
            <a:ext uri="{FF2B5EF4-FFF2-40B4-BE49-F238E27FC236}">
              <a16:creationId xmlns:a16="http://schemas.microsoft.com/office/drawing/2014/main" id="{00000000-0008-0000-0300-00000F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28575</xdr:colOff>
      <xdr:row>197</xdr:row>
      <xdr:rowOff>9525</xdr:rowOff>
    </xdr:from>
    <xdr:to>
      <xdr:col>2</xdr:col>
      <xdr:colOff>933450</xdr:colOff>
      <xdr:row>197</xdr:row>
      <xdr:rowOff>249555</xdr:rowOff>
    </xdr:to>
    <xdr:sp macro="" textlink="">
      <xdr:nvSpPr>
        <xdr:cNvPr id="16" name="Check Box 43" hidden="1">
          <a:extLst>
            <a:ext uri="{63B3BB69-23CF-44E3-9099-C40C66FF867C}">
              <a14:compatExt xmlns:a14="http://schemas.microsoft.com/office/drawing/2010/main" spid="_x0000_s1067"/>
            </a:ext>
            <a:ext uri="{FF2B5EF4-FFF2-40B4-BE49-F238E27FC236}">
              <a16:creationId xmlns:a16="http://schemas.microsoft.com/office/drawing/2014/main" id="{00000000-0008-0000-0300-000010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28575</xdr:colOff>
      <xdr:row>197</xdr:row>
      <xdr:rowOff>9525</xdr:rowOff>
    </xdr:from>
    <xdr:to>
      <xdr:col>4</xdr:col>
      <xdr:colOff>15240</xdr:colOff>
      <xdr:row>197</xdr:row>
      <xdr:rowOff>249555</xdr:rowOff>
    </xdr:to>
    <xdr:sp macro="" textlink="">
      <xdr:nvSpPr>
        <xdr:cNvPr id="17" name="Check Box 44" hidden="1">
          <a:extLst>
            <a:ext uri="{63B3BB69-23CF-44E3-9099-C40C66FF867C}">
              <a14:compatExt xmlns:a14="http://schemas.microsoft.com/office/drawing/2010/main" spid="_x0000_s1068"/>
            </a:ext>
            <a:ext uri="{FF2B5EF4-FFF2-40B4-BE49-F238E27FC236}">
              <a16:creationId xmlns:a16="http://schemas.microsoft.com/office/drawing/2014/main" id="{00000000-0008-0000-0300-000011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28575</xdr:colOff>
      <xdr:row>176</xdr:row>
      <xdr:rowOff>9525</xdr:rowOff>
    </xdr:from>
    <xdr:to>
      <xdr:col>2</xdr:col>
      <xdr:colOff>19050</xdr:colOff>
      <xdr:row>176</xdr:row>
      <xdr:rowOff>249555</xdr:rowOff>
    </xdr:to>
    <xdr:sp macro="" textlink="">
      <xdr:nvSpPr>
        <xdr:cNvPr id="18" name="Check Box 45" hidden="1">
          <a:extLst>
            <a:ext uri="{63B3BB69-23CF-44E3-9099-C40C66FF867C}">
              <a14:compatExt xmlns:a14="http://schemas.microsoft.com/office/drawing/2010/main" spid="_x0000_s1069"/>
            </a:ext>
            <a:ext uri="{FF2B5EF4-FFF2-40B4-BE49-F238E27FC236}">
              <a16:creationId xmlns:a16="http://schemas.microsoft.com/office/drawing/2014/main" id="{00000000-0008-0000-0300-000012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28575</xdr:colOff>
      <xdr:row>176</xdr:row>
      <xdr:rowOff>9525</xdr:rowOff>
    </xdr:from>
    <xdr:to>
      <xdr:col>2</xdr:col>
      <xdr:colOff>933450</xdr:colOff>
      <xdr:row>176</xdr:row>
      <xdr:rowOff>249555</xdr:rowOff>
    </xdr:to>
    <xdr:sp macro="" textlink="">
      <xdr:nvSpPr>
        <xdr:cNvPr id="19" name="Check Box 46" hidden="1">
          <a:extLst>
            <a:ext uri="{63B3BB69-23CF-44E3-9099-C40C66FF867C}">
              <a14:compatExt xmlns:a14="http://schemas.microsoft.com/office/drawing/2010/main" spid="_x0000_s1070"/>
            </a:ext>
            <a:ext uri="{FF2B5EF4-FFF2-40B4-BE49-F238E27FC236}">
              <a16:creationId xmlns:a16="http://schemas.microsoft.com/office/drawing/2014/main" id="{00000000-0008-0000-0300-000013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28575</xdr:colOff>
      <xdr:row>176</xdr:row>
      <xdr:rowOff>9525</xdr:rowOff>
    </xdr:from>
    <xdr:to>
      <xdr:col>4</xdr:col>
      <xdr:colOff>19050</xdr:colOff>
      <xdr:row>176</xdr:row>
      <xdr:rowOff>249555</xdr:rowOff>
    </xdr:to>
    <xdr:sp macro="" textlink="">
      <xdr:nvSpPr>
        <xdr:cNvPr id="20" name="Check Box 48" hidden="1">
          <a:extLst>
            <a:ext uri="{63B3BB69-23CF-44E3-9099-C40C66FF867C}">
              <a14:compatExt xmlns:a14="http://schemas.microsoft.com/office/drawing/2010/main" spid="_x0000_s1072"/>
            </a:ext>
            <a:ext uri="{FF2B5EF4-FFF2-40B4-BE49-F238E27FC236}">
              <a16:creationId xmlns:a16="http://schemas.microsoft.com/office/drawing/2014/main" id="{00000000-0008-0000-0300-000014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19050</xdr:colOff>
      <xdr:row>234</xdr:row>
      <xdr:rowOff>9525</xdr:rowOff>
    </xdr:from>
    <xdr:to>
      <xdr:col>2</xdr:col>
      <xdr:colOff>0</xdr:colOff>
      <xdr:row>234</xdr:row>
      <xdr:rowOff>249555</xdr:rowOff>
    </xdr:to>
    <xdr:sp macro="" textlink="">
      <xdr:nvSpPr>
        <xdr:cNvPr id="21" name="Check Box 50" hidden="1">
          <a:extLst>
            <a:ext uri="{63B3BB69-23CF-44E3-9099-C40C66FF867C}">
              <a14:compatExt xmlns:a14="http://schemas.microsoft.com/office/drawing/2010/main" spid="_x0000_s1074"/>
            </a:ext>
            <a:ext uri="{FF2B5EF4-FFF2-40B4-BE49-F238E27FC236}">
              <a16:creationId xmlns:a16="http://schemas.microsoft.com/office/drawing/2014/main" id="{00000000-0008-0000-0300-000015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19050</xdr:colOff>
      <xdr:row>234</xdr:row>
      <xdr:rowOff>9525</xdr:rowOff>
    </xdr:from>
    <xdr:to>
      <xdr:col>2</xdr:col>
      <xdr:colOff>914400</xdr:colOff>
      <xdr:row>234</xdr:row>
      <xdr:rowOff>249555</xdr:rowOff>
    </xdr:to>
    <xdr:sp macro="" textlink="">
      <xdr:nvSpPr>
        <xdr:cNvPr id="22" name="Check Box 51" hidden="1">
          <a:extLst>
            <a:ext uri="{63B3BB69-23CF-44E3-9099-C40C66FF867C}">
              <a14:compatExt xmlns:a14="http://schemas.microsoft.com/office/drawing/2010/main" spid="_x0000_s1075"/>
            </a:ext>
            <a:ext uri="{FF2B5EF4-FFF2-40B4-BE49-F238E27FC236}">
              <a16:creationId xmlns:a16="http://schemas.microsoft.com/office/drawing/2014/main" id="{00000000-0008-0000-0300-000016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19050</xdr:colOff>
      <xdr:row>234</xdr:row>
      <xdr:rowOff>9525</xdr:rowOff>
    </xdr:from>
    <xdr:to>
      <xdr:col>4</xdr:col>
      <xdr:colOff>0</xdr:colOff>
      <xdr:row>234</xdr:row>
      <xdr:rowOff>249555</xdr:rowOff>
    </xdr:to>
    <xdr:sp macro="" textlink="">
      <xdr:nvSpPr>
        <xdr:cNvPr id="23" name="Check Box 53" hidden="1">
          <a:extLst>
            <a:ext uri="{63B3BB69-23CF-44E3-9099-C40C66FF867C}">
              <a14:compatExt xmlns:a14="http://schemas.microsoft.com/office/drawing/2010/main" spid="_x0000_s1077"/>
            </a:ext>
            <a:ext uri="{FF2B5EF4-FFF2-40B4-BE49-F238E27FC236}">
              <a16:creationId xmlns:a16="http://schemas.microsoft.com/office/drawing/2014/main" id="{00000000-0008-0000-0300-000017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19050</xdr:colOff>
      <xdr:row>248</xdr:row>
      <xdr:rowOff>9525</xdr:rowOff>
    </xdr:from>
    <xdr:to>
      <xdr:col>2</xdr:col>
      <xdr:colOff>0</xdr:colOff>
      <xdr:row>248</xdr:row>
      <xdr:rowOff>249555</xdr:rowOff>
    </xdr:to>
    <xdr:sp macro="" textlink="">
      <xdr:nvSpPr>
        <xdr:cNvPr id="24" name="Check Box 57" hidden="1">
          <a:extLst>
            <a:ext uri="{63B3BB69-23CF-44E3-9099-C40C66FF867C}">
              <a14:compatExt xmlns:a14="http://schemas.microsoft.com/office/drawing/2010/main" spid="_x0000_s1081"/>
            </a:ext>
            <a:ext uri="{FF2B5EF4-FFF2-40B4-BE49-F238E27FC236}">
              <a16:creationId xmlns:a16="http://schemas.microsoft.com/office/drawing/2014/main" id="{00000000-0008-0000-0300-000018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19050</xdr:colOff>
      <xdr:row>248</xdr:row>
      <xdr:rowOff>9525</xdr:rowOff>
    </xdr:from>
    <xdr:to>
      <xdr:col>2</xdr:col>
      <xdr:colOff>914400</xdr:colOff>
      <xdr:row>248</xdr:row>
      <xdr:rowOff>249555</xdr:rowOff>
    </xdr:to>
    <xdr:sp macro="" textlink="">
      <xdr:nvSpPr>
        <xdr:cNvPr id="25" name="Check Box 58" hidden="1">
          <a:extLst>
            <a:ext uri="{63B3BB69-23CF-44E3-9099-C40C66FF867C}">
              <a14:compatExt xmlns:a14="http://schemas.microsoft.com/office/drawing/2010/main" spid="_x0000_s1082"/>
            </a:ext>
            <a:ext uri="{FF2B5EF4-FFF2-40B4-BE49-F238E27FC236}">
              <a16:creationId xmlns:a16="http://schemas.microsoft.com/office/drawing/2014/main" id="{00000000-0008-0000-0300-000019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19050</xdr:colOff>
      <xdr:row>249</xdr:row>
      <xdr:rowOff>9525</xdr:rowOff>
    </xdr:from>
    <xdr:to>
      <xdr:col>2</xdr:col>
      <xdr:colOff>0</xdr:colOff>
      <xdr:row>249</xdr:row>
      <xdr:rowOff>249555</xdr:rowOff>
    </xdr:to>
    <xdr:sp macro="" textlink="">
      <xdr:nvSpPr>
        <xdr:cNvPr id="26" name="Check Box 59" hidden="1">
          <a:extLst>
            <a:ext uri="{63B3BB69-23CF-44E3-9099-C40C66FF867C}">
              <a14:compatExt xmlns:a14="http://schemas.microsoft.com/office/drawing/2010/main" spid="_x0000_s1083"/>
            </a:ext>
            <a:ext uri="{FF2B5EF4-FFF2-40B4-BE49-F238E27FC236}">
              <a16:creationId xmlns:a16="http://schemas.microsoft.com/office/drawing/2014/main" id="{00000000-0008-0000-0300-00001A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19050</xdr:colOff>
      <xdr:row>249</xdr:row>
      <xdr:rowOff>9525</xdr:rowOff>
    </xdr:from>
    <xdr:to>
      <xdr:col>2</xdr:col>
      <xdr:colOff>914400</xdr:colOff>
      <xdr:row>249</xdr:row>
      <xdr:rowOff>249555</xdr:rowOff>
    </xdr:to>
    <xdr:sp macro="" textlink="">
      <xdr:nvSpPr>
        <xdr:cNvPr id="27" name="Check Box 61" hidden="1">
          <a:extLst>
            <a:ext uri="{63B3BB69-23CF-44E3-9099-C40C66FF867C}">
              <a14:compatExt xmlns:a14="http://schemas.microsoft.com/office/drawing/2010/main" spid="_x0000_s1085"/>
            </a:ext>
            <a:ext uri="{FF2B5EF4-FFF2-40B4-BE49-F238E27FC236}">
              <a16:creationId xmlns:a16="http://schemas.microsoft.com/office/drawing/2014/main" id="{00000000-0008-0000-0300-00001B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19050</xdr:colOff>
      <xdr:row>261</xdr:row>
      <xdr:rowOff>9525</xdr:rowOff>
    </xdr:from>
    <xdr:to>
      <xdr:col>2</xdr:col>
      <xdr:colOff>914400</xdr:colOff>
      <xdr:row>261</xdr:row>
      <xdr:rowOff>249555</xdr:rowOff>
    </xdr:to>
    <xdr:sp macro="" textlink="">
      <xdr:nvSpPr>
        <xdr:cNvPr id="28" name="Check Box 63" hidden="1">
          <a:extLst>
            <a:ext uri="{63B3BB69-23CF-44E3-9099-C40C66FF867C}">
              <a14:compatExt xmlns:a14="http://schemas.microsoft.com/office/drawing/2010/main" spid="_x0000_s1087"/>
            </a:ext>
            <a:ext uri="{FF2B5EF4-FFF2-40B4-BE49-F238E27FC236}">
              <a16:creationId xmlns:a16="http://schemas.microsoft.com/office/drawing/2014/main" id="{00000000-0008-0000-0300-00001C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19050</xdr:colOff>
      <xdr:row>261</xdr:row>
      <xdr:rowOff>9525</xdr:rowOff>
    </xdr:from>
    <xdr:to>
      <xdr:col>2</xdr:col>
      <xdr:colOff>0</xdr:colOff>
      <xdr:row>261</xdr:row>
      <xdr:rowOff>249555</xdr:rowOff>
    </xdr:to>
    <xdr:sp macro="" textlink="">
      <xdr:nvSpPr>
        <xdr:cNvPr id="29" name="Check Box 64" hidden="1">
          <a:extLst>
            <a:ext uri="{63B3BB69-23CF-44E3-9099-C40C66FF867C}">
              <a14:compatExt xmlns:a14="http://schemas.microsoft.com/office/drawing/2010/main" spid="_x0000_s1088"/>
            </a:ext>
            <a:ext uri="{FF2B5EF4-FFF2-40B4-BE49-F238E27FC236}">
              <a16:creationId xmlns:a16="http://schemas.microsoft.com/office/drawing/2014/main" id="{00000000-0008-0000-0300-00001D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19050</xdr:colOff>
      <xdr:row>343</xdr:row>
      <xdr:rowOff>9525</xdr:rowOff>
    </xdr:from>
    <xdr:to>
      <xdr:col>2</xdr:col>
      <xdr:colOff>914400</xdr:colOff>
      <xdr:row>343</xdr:row>
      <xdr:rowOff>249555</xdr:rowOff>
    </xdr:to>
    <xdr:sp macro="" textlink="">
      <xdr:nvSpPr>
        <xdr:cNvPr id="30" name="Check Box 68" hidden="1">
          <a:extLst>
            <a:ext uri="{63B3BB69-23CF-44E3-9099-C40C66FF867C}">
              <a14:compatExt xmlns:a14="http://schemas.microsoft.com/office/drawing/2010/main" spid="_x0000_s1092"/>
            </a:ext>
            <a:ext uri="{FF2B5EF4-FFF2-40B4-BE49-F238E27FC236}">
              <a16:creationId xmlns:a16="http://schemas.microsoft.com/office/drawing/2014/main" id="{00000000-0008-0000-0300-00001E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19050</xdr:colOff>
      <xdr:row>343</xdr:row>
      <xdr:rowOff>9525</xdr:rowOff>
    </xdr:from>
    <xdr:to>
      <xdr:col>2</xdr:col>
      <xdr:colOff>0</xdr:colOff>
      <xdr:row>343</xdr:row>
      <xdr:rowOff>249555</xdr:rowOff>
    </xdr:to>
    <xdr:sp macro="" textlink="">
      <xdr:nvSpPr>
        <xdr:cNvPr id="31" name="Check Box 69" hidden="1">
          <a:extLst>
            <a:ext uri="{63B3BB69-23CF-44E3-9099-C40C66FF867C}">
              <a14:compatExt xmlns:a14="http://schemas.microsoft.com/office/drawing/2010/main" spid="_x0000_s1093"/>
            </a:ext>
            <a:ext uri="{FF2B5EF4-FFF2-40B4-BE49-F238E27FC236}">
              <a16:creationId xmlns:a16="http://schemas.microsoft.com/office/drawing/2014/main" id="{00000000-0008-0000-0300-00001F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19050</xdr:colOff>
      <xdr:row>343</xdr:row>
      <xdr:rowOff>9525</xdr:rowOff>
    </xdr:from>
    <xdr:to>
      <xdr:col>4</xdr:col>
      <xdr:colOff>0</xdr:colOff>
      <xdr:row>343</xdr:row>
      <xdr:rowOff>249555</xdr:rowOff>
    </xdr:to>
    <xdr:sp macro="" textlink="">
      <xdr:nvSpPr>
        <xdr:cNvPr id="32" name="Check Box 70" hidden="1">
          <a:extLst>
            <a:ext uri="{63B3BB69-23CF-44E3-9099-C40C66FF867C}">
              <a14:compatExt xmlns:a14="http://schemas.microsoft.com/office/drawing/2010/main" spid="_x0000_s1094"/>
            </a:ext>
            <a:ext uri="{FF2B5EF4-FFF2-40B4-BE49-F238E27FC236}">
              <a16:creationId xmlns:a16="http://schemas.microsoft.com/office/drawing/2014/main" id="{00000000-0008-0000-0300-000020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19050</xdr:colOff>
      <xdr:row>344</xdr:row>
      <xdr:rowOff>9525</xdr:rowOff>
    </xdr:from>
    <xdr:to>
      <xdr:col>2</xdr:col>
      <xdr:colOff>0</xdr:colOff>
      <xdr:row>344</xdr:row>
      <xdr:rowOff>249555</xdr:rowOff>
    </xdr:to>
    <xdr:sp macro="" textlink="">
      <xdr:nvSpPr>
        <xdr:cNvPr id="33" name="Check Box 71" hidden="1">
          <a:extLst>
            <a:ext uri="{63B3BB69-23CF-44E3-9099-C40C66FF867C}">
              <a14:compatExt xmlns:a14="http://schemas.microsoft.com/office/drawing/2010/main" spid="_x0000_s1095"/>
            </a:ext>
            <a:ext uri="{FF2B5EF4-FFF2-40B4-BE49-F238E27FC236}">
              <a16:creationId xmlns:a16="http://schemas.microsoft.com/office/drawing/2014/main" id="{00000000-0008-0000-0300-000021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19050</xdr:colOff>
      <xdr:row>344</xdr:row>
      <xdr:rowOff>9525</xdr:rowOff>
    </xdr:from>
    <xdr:to>
      <xdr:col>2</xdr:col>
      <xdr:colOff>914400</xdr:colOff>
      <xdr:row>344</xdr:row>
      <xdr:rowOff>249555</xdr:rowOff>
    </xdr:to>
    <xdr:sp macro="" textlink="">
      <xdr:nvSpPr>
        <xdr:cNvPr id="34" name="Check Box 72" hidden="1">
          <a:extLst>
            <a:ext uri="{63B3BB69-23CF-44E3-9099-C40C66FF867C}">
              <a14:compatExt xmlns:a14="http://schemas.microsoft.com/office/drawing/2010/main" spid="_x0000_s1096"/>
            </a:ext>
            <a:ext uri="{FF2B5EF4-FFF2-40B4-BE49-F238E27FC236}">
              <a16:creationId xmlns:a16="http://schemas.microsoft.com/office/drawing/2014/main" id="{00000000-0008-0000-0300-000022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19050</xdr:colOff>
      <xdr:row>344</xdr:row>
      <xdr:rowOff>9525</xdr:rowOff>
    </xdr:from>
    <xdr:to>
      <xdr:col>4</xdr:col>
      <xdr:colOff>0</xdr:colOff>
      <xdr:row>344</xdr:row>
      <xdr:rowOff>249555</xdr:rowOff>
    </xdr:to>
    <xdr:sp macro="" textlink="">
      <xdr:nvSpPr>
        <xdr:cNvPr id="35" name="Check Box 73" hidden="1">
          <a:extLst>
            <a:ext uri="{63B3BB69-23CF-44E3-9099-C40C66FF867C}">
              <a14:compatExt xmlns:a14="http://schemas.microsoft.com/office/drawing/2010/main" spid="_x0000_s1097"/>
            </a:ext>
            <a:ext uri="{FF2B5EF4-FFF2-40B4-BE49-F238E27FC236}">
              <a16:creationId xmlns:a16="http://schemas.microsoft.com/office/drawing/2014/main" id="{00000000-0008-0000-0300-000023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19050</xdr:colOff>
      <xdr:row>345</xdr:row>
      <xdr:rowOff>9525</xdr:rowOff>
    </xdr:from>
    <xdr:to>
      <xdr:col>2</xdr:col>
      <xdr:colOff>0</xdr:colOff>
      <xdr:row>345</xdr:row>
      <xdr:rowOff>249555</xdr:rowOff>
    </xdr:to>
    <xdr:sp macro="" textlink="">
      <xdr:nvSpPr>
        <xdr:cNvPr id="36" name="Check Box 75" hidden="1">
          <a:extLst>
            <a:ext uri="{63B3BB69-23CF-44E3-9099-C40C66FF867C}">
              <a14:compatExt xmlns:a14="http://schemas.microsoft.com/office/drawing/2010/main" spid="_x0000_s1099"/>
            </a:ext>
            <a:ext uri="{FF2B5EF4-FFF2-40B4-BE49-F238E27FC236}">
              <a16:creationId xmlns:a16="http://schemas.microsoft.com/office/drawing/2014/main" id="{00000000-0008-0000-0300-000024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19050</xdr:colOff>
      <xdr:row>345</xdr:row>
      <xdr:rowOff>9525</xdr:rowOff>
    </xdr:from>
    <xdr:to>
      <xdr:col>2</xdr:col>
      <xdr:colOff>914400</xdr:colOff>
      <xdr:row>345</xdr:row>
      <xdr:rowOff>249555</xdr:rowOff>
    </xdr:to>
    <xdr:sp macro="" textlink="">
      <xdr:nvSpPr>
        <xdr:cNvPr id="37" name="Check Box 76" hidden="1">
          <a:extLst>
            <a:ext uri="{63B3BB69-23CF-44E3-9099-C40C66FF867C}">
              <a14:compatExt xmlns:a14="http://schemas.microsoft.com/office/drawing/2010/main" spid="_x0000_s1100"/>
            </a:ext>
            <a:ext uri="{FF2B5EF4-FFF2-40B4-BE49-F238E27FC236}">
              <a16:creationId xmlns:a16="http://schemas.microsoft.com/office/drawing/2014/main" id="{00000000-0008-0000-0300-000025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19050</xdr:colOff>
      <xdr:row>345</xdr:row>
      <xdr:rowOff>9525</xdr:rowOff>
    </xdr:from>
    <xdr:to>
      <xdr:col>4</xdr:col>
      <xdr:colOff>0</xdr:colOff>
      <xdr:row>345</xdr:row>
      <xdr:rowOff>249555</xdr:rowOff>
    </xdr:to>
    <xdr:sp macro="" textlink="">
      <xdr:nvSpPr>
        <xdr:cNvPr id="38" name="Check Box 78" hidden="1">
          <a:extLst>
            <a:ext uri="{63B3BB69-23CF-44E3-9099-C40C66FF867C}">
              <a14:compatExt xmlns:a14="http://schemas.microsoft.com/office/drawing/2010/main" spid="_x0000_s1102"/>
            </a:ext>
            <a:ext uri="{FF2B5EF4-FFF2-40B4-BE49-F238E27FC236}">
              <a16:creationId xmlns:a16="http://schemas.microsoft.com/office/drawing/2014/main" id="{00000000-0008-0000-0300-000026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19050</xdr:colOff>
      <xdr:row>346</xdr:row>
      <xdr:rowOff>9525</xdr:rowOff>
    </xdr:from>
    <xdr:to>
      <xdr:col>2</xdr:col>
      <xdr:colOff>0</xdr:colOff>
      <xdr:row>346</xdr:row>
      <xdr:rowOff>249555</xdr:rowOff>
    </xdr:to>
    <xdr:sp macro="" textlink="">
      <xdr:nvSpPr>
        <xdr:cNvPr id="39" name="Check Box 80" hidden="1">
          <a:extLst>
            <a:ext uri="{63B3BB69-23CF-44E3-9099-C40C66FF867C}">
              <a14:compatExt xmlns:a14="http://schemas.microsoft.com/office/drawing/2010/main" spid="_x0000_s1104"/>
            </a:ext>
            <a:ext uri="{FF2B5EF4-FFF2-40B4-BE49-F238E27FC236}">
              <a16:creationId xmlns:a16="http://schemas.microsoft.com/office/drawing/2014/main" id="{00000000-0008-0000-0300-000027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19050</xdr:colOff>
      <xdr:row>346</xdr:row>
      <xdr:rowOff>9525</xdr:rowOff>
    </xdr:from>
    <xdr:to>
      <xdr:col>2</xdr:col>
      <xdr:colOff>914400</xdr:colOff>
      <xdr:row>346</xdr:row>
      <xdr:rowOff>249555</xdr:rowOff>
    </xdr:to>
    <xdr:sp macro="" textlink="">
      <xdr:nvSpPr>
        <xdr:cNvPr id="40" name="Check Box 82" hidden="1">
          <a:extLst>
            <a:ext uri="{63B3BB69-23CF-44E3-9099-C40C66FF867C}">
              <a14:compatExt xmlns:a14="http://schemas.microsoft.com/office/drawing/2010/main" spid="_x0000_s1106"/>
            </a:ext>
            <a:ext uri="{FF2B5EF4-FFF2-40B4-BE49-F238E27FC236}">
              <a16:creationId xmlns:a16="http://schemas.microsoft.com/office/drawing/2014/main" id="{00000000-0008-0000-0300-000028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19050</xdr:colOff>
      <xdr:row>346</xdr:row>
      <xdr:rowOff>9525</xdr:rowOff>
    </xdr:from>
    <xdr:to>
      <xdr:col>4</xdr:col>
      <xdr:colOff>0</xdr:colOff>
      <xdr:row>346</xdr:row>
      <xdr:rowOff>249555</xdr:rowOff>
    </xdr:to>
    <xdr:sp macro="" textlink="">
      <xdr:nvSpPr>
        <xdr:cNvPr id="41" name="Check Box 84" hidden="1">
          <a:extLst>
            <a:ext uri="{63B3BB69-23CF-44E3-9099-C40C66FF867C}">
              <a14:compatExt xmlns:a14="http://schemas.microsoft.com/office/drawing/2010/main" spid="_x0000_s1108"/>
            </a:ext>
            <a:ext uri="{FF2B5EF4-FFF2-40B4-BE49-F238E27FC236}">
              <a16:creationId xmlns:a16="http://schemas.microsoft.com/office/drawing/2014/main" id="{00000000-0008-0000-0300-000029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19050</xdr:colOff>
      <xdr:row>347</xdr:row>
      <xdr:rowOff>9525</xdr:rowOff>
    </xdr:from>
    <xdr:to>
      <xdr:col>2</xdr:col>
      <xdr:colOff>0</xdr:colOff>
      <xdr:row>347</xdr:row>
      <xdr:rowOff>249555</xdr:rowOff>
    </xdr:to>
    <xdr:sp macro="" textlink="">
      <xdr:nvSpPr>
        <xdr:cNvPr id="42" name="Check Box 85" hidden="1">
          <a:extLst>
            <a:ext uri="{63B3BB69-23CF-44E3-9099-C40C66FF867C}">
              <a14:compatExt xmlns:a14="http://schemas.microsoft.com/office/drawing/2010/main" spid="_x0000_s1109"/>
            </a:ext>
            <a:ext uri="{FF2B5EF4-FFF2-40B4-BE49-F238E27FC236}">
              <a16:creationId xmlns:a16="http://schemas.microsoft.com/office/drawing/2014/main" id="{00000000-0008-0000-0300-00002A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19050</xdr:colOff>
      <xdr:row>347</xdr:row>
      <xdr:rowOff>9525</xdr:rowOff>
    </xdr:from>
    <xdr:to>
      <xdr:col>2</xdr:col>
      <xdr:colOff>914400</xdr:colOff>
      <xdr:row>347</xdr:row>
      <xdr:rowOff>249555</xdr:rowOff>
    </xdr:to>
    <xdr:sp macro="" textlink="">
      <xdr:nvSpPr>
        <xdr:cNvPr id="43" name="Check Box 86" hidden="1">
          <a:extLst>
            <a:ext uri="{63B3BB69-23CF-44E3-9099-C40C66FF867C}">
              <a14:compatExt xmlns:a14="http://schemas.microsoft.com/office/drawing/2010/main" spid="_x0000_s1110"/>
            </a:ext>
            <a:ext uri="{FF2B5EF4-FFF2-40B4-BE49-F238E27FC236}">
              <a16:creationId xmlns:a16="http://schemas.microsoft.com/office/drawing/2014/main" id="{00000000-0008-0000-0300-00002B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19050</xdr:colOff>
      <xdr:row>347</xdr:row>
      <xdr:rowOff>9525</xdr:rowOff>
    </xdr:from>
    <xdr:to>
      <xdr:col>4</xdr:col>
      <xdr:colOff>0</xdr:colOff>
      <xdr:row>347</xdr:row>
      <xdr:rowOff>249555</xdr:rowOff>
    </xdr:to>
    <xdr:sp macro="" textlink="">
      <xdr:nvSpPr>
        <xdr:cNvPr id="44" name="Check Box 88" hidden="1">
          <a:extLst>
            <a:ext uri="{63B3BB69-23CF-44E3-9099-C40C66FF867C}">
              <a14:compatExt xmlns:a14="http://schemas.microsoft.com/office/drawing/2010/main" spid="_x0000_s1112"/>
            </a:ext>
            <a:ext uri="{FF2B5EF4-FFF2-40B4-BE49-F238E27FC236}">
              <a16:creationId xmlns:a16="http://schemas.microsoft.com/office/drawing/2014/main" id="{00000000-0008-0000-0300-00002C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19050</xdr:colOff>
      <xdr:row>348</xdr:row>
      <xdr:rowOff>9525</xdr:rowOff>
    </xdr:from>
    <xdr:to>
      <xdr:col>2</xdr:col>
      <xdr:colOff>0</xdr:colOff>
      <xdr:row>348</xdr:row>
      <xdr:rowOff>249555</xdr:rowOff>
    </xdr:to>
    <xdr:sp macro="" textlink="">
      <xdr:nvSpPr>
        <xdr:cNvPr id="45" name="Check Box 90" hidden="1">
          <a:extLst>
            <a:ext uri="{63B3BB69-23CF-44E3-9099-C40C66FF867C}">
              <a14:compatExt xmlns:a14="http://schemas.microsoft.com/office/drawing/2010/main" spid="_x0000_s1114"/>
            </a:ext>
            <a:ext uri="{FF2B5EF4-FFF2-40B4-BE49-F238E27FC236}">
              <a16:creationId xmlns:a16="http://schemas.microsoft.com/office/drawing/2014/main" id="{00000000-0008-0000-0300-00002D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19050</xdr:colOff>
      <xdr:row>348</xdr:row>
      <xdr:rowOff>9525</xdr:rowOff>
    </xdr:from>
    <xdr:to>
      <xdr:col>2</xdr:col>
      <xdr:colOff>914400</xdr:colOff>
      <xdr:row>348</xdr:row>
      <xdr:rowOff>249555</xdr:rowOff>
    </xdr:to>
    <xdr:sp macro="" textlink="">
      <xdr:nvSpPr>
        <xdr:cNvPr id="46" name="Check Box 91" hidden="1">
          <a:extLst>
            <a:ext uri="{63B3BB69-23CF-44E3-9099-C40C66FF867C}">
              <a14:compatExt xmlns:a14="http://schemas.microsoft.com/office/drawing/2010/main" spid="_x0000_s1115"/>
            </a:ext>
            <a:ext uri="{FF2B5EF4-FFF2-40B4-BE49-F238E27FC236}">
              <a16:creationId xmlns:a16="http://schemas.microsoft.com/office/drawing/2014/main" id="{00000000-0008-0000-0300-00002E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19050</xdr:colOff>
      <xdr:row>348</xdr:row>
      <xdr:rowOff>9525</xdr:rowOff>
    </xdr:from>
    <xdr:to>
      <xdr:col>4</xdr:col>
      <xdr:colOff>0</xdr:colOff>
      <xdr:row>348</xdr:row>
      <xdr:rowOff>249555</xdr:rowOff>
    </xdr:to>
    <xdr:sp macro="" textlink="">
      <xdr:nvSpPr>
        <xdr:cNvPr id="47" name="Check Box 92" hidden="1">
          <a:extLst>
            <a:ext uri="{63B3BB69-23CF-44E3-9099-C40C66FF867C}">
              <a14:compatExt xmlns:a14="http://schemas.microsoft.com/office/drawing/2010/main" spid="_x0000_s1116"/>
            </a:ext>
            <a:ext uri="{FF2B5EF4-FFF2-40B4-BE49-F238E27FC236}">
              <a16:creationId xmlns:a16="http://schemas.microsoft.com/office/drawing/2014/main" id="{00000000-0008-0000-0300-00002F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19050</xdr:colOff>
      <xdr:row>349</xdr:row>
      <xdr:rowOff>9525</xdr:rowOff>
    </xdr:from>
    <xdr:to>
      <xdr:col>2</xdr:col>
      <xdr:colOff>0</xdr:colOff>
      <xdr:row>349</xdr:row>
      <xdr:rowOff>249555</xdr:rowOff>
    </xdr:to>
    <xdr:sp macro="" textlink="">
      <xdr:nvSpPr>
        <xdr:cNvPr id="48" name="Check Box 93" hidden="1">
          <a:extLst>
            <a:ext uri="{63B3BB69-23CF-44E3-9099-C40C66FF867C}">
              <a14:compatExt xmlns:a14="http://schemas.microsoft.com/office/drawing/2010/main" spid="_x0000_s1117"/>
            </a:ext>
            <a:ext uri="{FF2B5EF4-FFF2-40B4-BE49-F238E27FC236}">
              <a16:creationId xmlns:a16="http://schemas.microsoft.com/office/drawing/2014/main" id="{00000000-0008-0000-0300-000030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19050</xdr:colOff>
      <xdr:row>349</xdr:row>
      <xdr:rowOff>9525</xdr:rowOff>
    </xdr:from>
    <xdr:to>
      <xdr:col>2</xdr:col>
      <xdr:colOff>914400</xdr:colOff>
      <xdr:row>349</xdr:row>
      <xdr:rowOff>249555</xdr:rowOff>
    </xdr:to>
    <xdr:sp macro="" textlink="">
      <xdr:nvSpPr>
        <xdr:cNvPr id="49" name="Check Box 95" hidden="1">
          <a:extLst>
            <a:ext uri="{63B3BB69-23CF-44E3-9099-C40C66FF867C}">
              <a14:compatExt xmlns:a14="http://schemas.microsoft.com/office/drawing/2010/main" spid="_x0000_s1119"/>
            </a:ext>
            <a:ext uri="{FF2B5EF4-FFF2-40B4-BE49-F238E27FC236}">
              <a16:creationId xmlns:a16="http://schemas.microsoft.com/office/drawing/2014/main" id="{00000000-0008-0000-0300-000031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19050</xdr:colOff>
      <xdr:row>349</xdr:row>
      <xdr:rowOff>9525</xdr:rowOff>
    </xdr:from>
    <xdr:to>
      <xdr:col>4</xdr:col>
      <xdr:colOff>0</xdr:colOff>
      <xdr:row>349</xdr:row>
      <xdr:rowOff>249555</xdr:rowOff>
    </xdr:to>
    <xdr:sp macro="" textlink="">
      <xdr:nvSpPr>
        <xdr:cNvPr id="50" name="Check Box 97" hidden="1">
          <a:extLst>
            <a:ext uri="{63B3BB69-23CF-44E3-9099-C40C66FF867C}">
              <a14:compatExt xmlns:a14="http://schemas.microsoft.com/office/drawing/2010/main" spid="_x0000_s1121"/>
            </a:ext>
            <a:ext uri="{FF2B5EF4-FFF2-40B4-BE49-F238E27FC236}">
              <a16:creationId xmlns:a16="http://schemas.microsoft.com/office/drawing/2014/main" id="{00000000-0008-0000-0300-000032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28575</xdr:colOff>
      <xdr:row>49</xdr:row>
      <xdr:rowOff>9525</xdr:rowOff>
    </xdr:from>
    <xdr:to>
      <xdr:col>2</xdr:col>
      <xdr:colOff>19050</xdr:colOff>
      <xdr:row>49</xdr:row>
      <xdr:rowOff>249555</xdr:rowOff>
    </xdr:to>
    <xdr:sp macro="" textlink="">
      <xdr:nvSpPr>
        <xdr:cNvPr id="51" name="Check Box 98" hidden="1">
          <a:extLst>
            <a:ext uri="{63B3BB69-23CF-44E3-9099-C40C66FF867C}">
              <a14:compatExt xmlns:a14="http://schemas.microsoft.com/office/drawing/2010/main" spid="_x0000_s1122"/>
            </a:ext>
            <a:ext uri="{FF2B5EF4-FFF2-40B4-BE49-F238E27FC236}">
              <a16:creationId xmlns:a16="http://schemas.microsoft.com/office/drawing/2014/main" id="{00000000-0008-0000-0300-000033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28575</xdr:colOff>
      <xdr:row>49</xdr:row>
      <xdr:rowOff>9525</xdr:rowOff>
    </xdr:from>
    <xdr:to>
      <xdr:col>2</xdr:col>
      <xdr:colOff>933450</xdr:colOff>
      <xdr:row>49</xdr:row>
      <xdr:rowOff>249555</xdr:rowOff>
    </xdr:to>
    <xdr:sp macro="" textlink="">
      <xdr:nvSpPr>
        <xdr:cNvPr id="52" name="Check Box 99" hidden="1">
          <a:extLst>
            <a:ext uri="{63B3BB69-23CF-44E3-9099-C40C66FF867C}">
              <a14:compatExt xmlns:a14="http://schemas.microsoft.com/office/drawing/2010/main" spid="_x0000_s1123"/>
            </a:ext>
            <a:ext uri="{FF2B5EF4-FFF2-40B4-BE49-F238E27FC236}">
              <a16:creationId xmlns:a16="http://schemas.microsoft.com/office/drawing/2014/main" id="{00000000-0008-0000-0300-000034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28575</xdr:colOff>
      <xdr:row>49</xdr:row>
      <xdr:rowOff>9525</xdr:rowOff>
    </xdr:from>
    <xdr:to>
      <xdr:col>4</xdr:col>
      <xdr:colOff>19050</xdr:colOff>
      <xdr:row>49</xdr:row>
      <xdr:rowOff>249555</xdr:rowOff>
    </xdr:to>
    <xdr:sp macro="" textlink="">
      <xdr:nvSpPr>
        <xdr:cNvPr id="53" name="Check Box 101" hidden="1">
          <a:extLst>
            <a:ext uri="{63B3BB69-23CF-44E3-9099-C40C66FF867C}">
              <a14:compatExt xmlns:a14="http://schemas.microsoft.com/office/drawing/2010/main" spid="_x0000_s1125"/>
            </a:ext>
            <a:ext uri="{FF2B5EF4-FFF2-40B4-BE49-F238E27FC236}">
              <a16:creationId xmlns:a16="http://schemas.microsoft.com/office/drawing/2014/main" id="{00000000-0008-0000-0300-000035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2</xdr:row>
      <xdr:rowOff>38100</xdr:rowOff>
    </xdr:from>
    <xdr:to>
      <xdr:col>5</xdr:col>
      <xdr:colOff>0</xdr:colOff>
      <xdr:row>2</xdr:row>
      <xdr:rowOff>266700</xdr:rowOff>
    </xdr:to>
    <xdr:sp macro="" textlink="">
      <xdr:nvSpPr>
        <xdr:cNvPr id="54" name="Check Box 226" descr="Beslutad av &#10;Länsstyrelsen" hidden="1">
          <a:extLst>
            <a:ext uri="{63B3BB69-23CF-44E3-9099-C40C66FF867C}">
              <a14:compatExt xmlns:a14="http://schemas.microsoft.com/office/drawing/2010/main" spid="_x0000_s1250"/>
            </a:ext>
            <a:ext uri="{FF2B5EF4-FFF2-40B4-BE49-F238E27FC236}">
              <a16:creationId xmlns:a16="http://schemas.microsoft.com/office/drawing/2014/main" id="{00000000-0008-0000-0300-000036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v-SE" sz="800" b="0" i="0" u="none" strike="noStrike" baseline="0">
              <a:solidFill>
                <a:srgbClr val="000000"/>
              </a:solidFill>
              <a:latin typeface="Tahoma"/>
              <a:ea typeface="Tahoma"/>
              <a:cs typeface="Tahoma"/>
            </a:rPr>
            <a:t>Älgskötselplan (nytt älgskötselområde/ny period)</a:t>
          </a:r>
        </a:p>
      </xdr:txBody>
    </xdr:sp>
    <xdr:clientData/>
  </xdr:twoCellAnchor>
  <xdr:twoCellAnchor editAs="oneCell">
    <xdr:from>
      <xdr:col>2</xdr:col>
      <xdr:colOff>0</xdr:colOff>
      <xdr:row>2</xdr:row>
      <xdr:rowOff>276225</xdr:rowOff>
    </xdr:from>
    <xdr:to>
      <xdr:col>5</xdr:col>
      <xdr:colOff>0</xdr:colOff>
      <xdr:row>2</xdr:row>
      <xdr:rowOff>516255</xdr:rowOff>
    </xdr:to>
    <xdr:sp macro="" textlink="">
      <xdr:nvSpPr>
        <xdr:cNvPr id="55" name="Check Box 227" descr="Beslutad av &#10;Länsstyrelsen" hidden="1">
          <a:extLst>
            <a:ext uri="{63B3BB69-23CF-44E3-9099-C40C66FF867C}">
              <a14:compatExt xmlns:a14="http://schemas.microsoft.com/office/drawing/2010/main" spid="_x0000_s1251"/>
            </a:ext>
            <a:ext uri="{FF2B5EF4-FFF2-40B4-BE49-F238E27FC236}">
              <a16:creationId xmlns:a16="http://schemas.microsoft.com/office/drawing/2014/main" id="{00000000-0008-0000-0300-000037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v-SE" sz="800" b="0" i="0" u="none" strike="noStrike" baseline="0">
              <a:solidFill>
                <a:srgbClr val="000000"/>
              </a:solidFill>
              <a:latin typeface="Tahoma"/>
              <a:ea typeface="Tahoma"/>
              <a:cs typeface="Tahoma"/>
            </a:rPr>
            <a:t>Reviderad älgskötselplan (inom pågående period)</a:t>
          </a:r>
        </a:p>
      </xdr:txBody>
    </xdr:sp>
    <xdr:clientData/>
  </xdr:twoCellAnchor>
  <xdr:twoCellAnchor editAs="oneCell">
    <xdr:from>
      <xdr:col>2</xdr:col>
      <xdr:colOff>0</xdr:colOff>
      <xdr:row>2</xdr:row>
      <xdr:rowOff>552450</xdr:rowOff>
    </xdr:from>
    <xdr:to>
      <xdr:col>5</xdr:col>
      <xdr:colOff>0</xdr:colOff>
      <xdr:row>2</xdr:row>
      <xdr:rowOff>819150</xdr:rowOff>
    </xdr:to>
    <xdr:sp macro="" textlink="">
      <xdr:nvSpPr>
        <xdr:cNvPr id="56" name="Check Box 228" descr="Beslutad av &#10;Länsstyrelsen" hidden="1">
          <a:extLst>
            <a:ext uri="{63B3BB69-23CF-44E3-9099-C40C66FF867C}">
              <a14:compatExt xmlns:a14="http://schemas.microsoft.com/office/drawing/2010/main" spid="_x0000_s1252"/>
            </a:ext>
            <a:ext uri="{FF2B5EF4-FFF2-40B4-BE49-F238E27FC236}">
              <a16:creationId xmlns:a16="http://schemas.microsoft.com/office/drawing/2014/main" id="{00000000-0008-0000-0300-000038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v-SE" sz="800" b="0" i="0" u="none" strike="noStrike" baseline="0">
              <a:solidFill>
                <a:srgbClr val="000000"/>
              </a:solidFill>
              <a:latin typeface="Tahoma"/>
              <a:ea typeface="Tahoma"/>
              <a:cs typeface="Tahoma"/>
            </a:rPr>
            <a:t>Reviderad avskjutningsplan (inom pågående period)</a:t>
          </a:r>
        </a:p>
      </xdr:txBody>
    </xdr:sp>
    <xdr:clientData/>
  </xdr:twoCellAnchor>
  <xdr:twoCellAnchor editAs="oneCell">
    <xdr:from>
      <xdr:col>2</xdr:col>
      <xdr:colOff>0</xdr:colOff>
      <xdr:row>3</xdr:row>
      <xdr:rowOff>38100</xdr:rowOff>
    </xdr:from>
    <xdr:to>
      <xdr:col>5</xdr:col>
      <xdr:colOff>0</xdr:colOff>
      <xdr:row>4</xdr:row>
      <xdr:rowOff>0</xdr:rowOff>
    </xdr:to>
    <xdr:sp macro="" textlink="">
      <xdr:nvSpPr>
        <xdr:cNvPr id="57" name="Check Box 235" descr="Beslutad av &#10;Länsstyrelsen" hidden="1">
          <a:extLst>
            <a:ext uri="{63B3BB69-23CF-44E3-9099-C40C66FF867C}">
              <a14:compatExt xmlns:a14="http://schemas.microsoft.com/office/drawing/2010/main" spid="_x0000_s1259"/>
            </a:ext>
            <a:ext uri="{FF2B5EF4-FFF2-40B4-BE49-F238E27FC236}">
              <a16:creationId xmlns:a16="http://schemas.microsoft.com/office/drawing/2014/main" id="{00000000-0008-0000-0300-000039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v-SE" sz="800" b="0" i="0" u="none" strike="noStrike" baseline="0">
              <a:solidFill>
                <a:srgbClr val="000000"/>
              </a:solidFill>
              <a:latin typeface="Tahoma"/>
              <a:ea typeface="Tahoma"/>
              <a:cs typeface="Tahoma"/>
            </a:rPr>
            <a:t>Nytt ärende (planen har inte lämnats tidigare)</a:t>
          </a:r>
        </a:p>
      </xdr:txBody>
    </xdr:sp>
    <xdr:clientData/>
  </xdr:twoCellAnchor>
  <xdr:twoCellAnchor editAs="oneCell">
    <xdr:from>
      <xdr:col>2</xdr:col>
      <xdr:colOff>9525</xdr:colOff>
      <xdr:row>4</xdr:row>
      <xdr:rowOff>0</xdr:rowOff>
    </xdr:from>
    <xdr:to>
      <xdr:col>3</xdr:col>
      <xdr:colOff>666750</xdr:colOff>
      <xdr:row>5</xdr:row>
      <xdr:rowOff>15240</xdr:rowOff>
    </xdr:to>
    <xdr:sp macro="" textlink="">
      <xdr:nvSpPr>
        <xdr:cNvPr id="58" name="Check Box 236" descr="Beslutad av &#10;Länsstyrelsen" hidden="1">
          <a:extLst>
            <a:ext uri="{63B3BB69-23CF-44E3-9099-C40C66FF867C}">
              <a14:compatExt xmlns:a14="http://schemas.microsoft.com/office/drawing/2010/main" spid="_x0000_s1260"/>
            </a:ext>
            <a:ext uri="{FF2B5EF4-FFF2-40B4-BE49-F238E27FC236}">
              <a16:creationId xmlns:a16="http://schemas.microsoft.com/office/drawing/2014/main" id="{00000000-0008-0000-0300-00003A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v-SE" sz="800" b="0" i="0" u="none" strike="noStrike" baseline="0">
              <a:solidFill>
                <a:srgbClr val="000000"/>
              </a:solidFill>
              <a:latin typeface="Tahoma"/>
              <a:ea typeface="Tahoma"/>
              <a:cs typeface="Tahoma"/>
            </a:rPr>
            <a:t>Till befintligt ärende. Diarie nr: </a:t>
          </a:r>
        </a:p>
      </xdr:txBody>
    </xdr:sp>
    <xdr:clientData/>
  </xdr:twoCellAnchor>
  <xdr:twoCellAnchor editAs="oneCell">
    <xdr:from>
      <xdr:col>3</xdr:col>
      <xdr:colOff>19050</xdr:colOff>
      <xdr:row>11</xdr:row>
      <xdr:rowOff>9525</xdr:rowOff>
    </xdr:from>
    <xdr:to>
      <xdr:col>5</xdr:col>
      <xdr:colOff>15240</xdr:colOff>
      <xdr:row>11</xdr:row>
      <xdr:rowOff>243840</xdr:rowOff>
    </xdr:to>
    <xdr:sp macro="" textlink="">
      <xdr:nvSpPr>
        <xdr:cNvPr id="59" name="Check Box 250" descr="Beslutad av &#10;Länsstyrelsen" hidden="1">
          <a:extLst>
            <a:ext uri="{63B3BB69-23CF-44E3-9099-C40C66FF867C}">
              <a14:compatExt xmlns:a14="http://schemas.microsoft.com/office/drawing/2010/main" spid="_x0000_s1274"/>
            </a:ext>
            <a:ext uri="{FF2B5EF4-FFF2-40B4-BE49-F238E27FC236}">
              <a16:creationId xmlns:a16="http://schemas.microsoft.com/office/drawing/2014/main" id="{00000000-0008-0000-0300-00003B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v-SE" sz="800" b="0" i="0" u="none" strike="noStrike" baseline="0">
              <a:solidFill>
                <a:srgbClr val="000000"/>
              </a:solidFill>
              <a:latin typeface="Tahoma"/>
              <a:ea typeface="Tahoma"/>
              <a:cs typeface="Tahoma"/>
            </a:rPr>
            <a:t>Beslutad av Länsstyrelsen</a:t>
          </a:r>
        </a:p>
      </xdr:txBody>
    </xdr:sp>
    <xdr:clientData/>
  </xdr:twoCellAnchor>
  <xdr:twoCellAnchor editAs="oneCell">
    <xdr:from>
      <xdr:col>3</xdr:col>
      <xdr:colOff>19050</xdr:colOff>
      <xdr:row>11</xdr:row>
      <xdr:rowOff>295275</xdr:rowOff>
    </xdr:from>
    <xdr:to>
      <xdr:col>5</xdr:col>
      <xdr:colOff>15240</xdr:colOff>
      <xdr:row>11</xdr:row>
      <xdr:rowOff>533400</xdr:rowOff>
    </xdr:to>
    <xdr:sp macro="" textlink="">
      <xdr:nvSpPr>
        <xdr:cNvPr id="60" name="Check Box 251" hidden="1">
          <a:extLst>
            <a:ext uri="{63B3BB69-23CF-44E3-9099-C40C66FF867C}">
              <a14:compatExt xmlns:a14="http://schemas.microsoft.com/office/drawing/2010/main" spid="_x0000_s1275"/>
            </a:ext>
            <a:ext uri="{FF2B5EF4-FFF2-40B4-BE49-F238E27FC236}">
              <a16:creationId xmlns:a16="http://schemas.microsoft.com/office/drawing/2014/main" id="{00000000-0008-0000-0300-00003C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v-SE" sz="800" b="0" i="0" u="none" strike="noStrike" baseline="0">
              <a:solidFill>
                <a:srgbClr val="000000"/>
              </a:solidFill>
              <a:latin typeface="Tahoma"/>
              <a:ea typeface="Tahoma"/>
              <a:cs typeface="Tahoma"/>
            </a:rPr>
            <a:t>Ansökt areal (nytt/ändrat område)</a:t>
          </a:r>
        </a:p>
      </xdr:txBody>
    </xdr:sp>
    <xdr:clientData/>
  </xdr:twoCellAnchor>
  <xdr:twoCellAnchor editAs="oneCell">
    <xdr:from>
      <xdr:col>5</xdr:col>
      <xdr:colOff>38100</xdr:colOff>
      <xdr:row>329</xdr:row>
      <xdr:rowOff>66675</xdr:rowOff>
    </xdr:from>
    <xdr:to>
      <xdr:col>7</xdr:col>
      <xdr:colOff>609600</xdr:colOff>
      <xdr:row>330</xdr:row>
      <xdr:rowOff>15240</xdr:rowOff>
    </xdr:to>
    <xdr:sp macro="" textlink="">
      <xdr:nvSpPr>
        <xdr:cNvPr id="61" name="Check Box 263" hidden="1">
          <a:extLst>
            <a:ext uri="{63B3BB69-23CF-44E3-9099-C40C66FF867C}">
              <a14:compatExt xmlns:a14="http://schemas.microsoft.com/office/drawing/2010/main" spid="_x0000_s1287"/>
            </a:ext>
            <a:ext uri="{FF2B5EF4-FFF2-40B4-BE49-F238E27FC236}">
              <a16:creationId xmlns:a16="http://schemas.microsoft.com/office/drawing/2014/main" id="{00000000-0008-0000-0300-00003D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v-SE" sz="800" b="0" i="0" u="none" strike="noStrike" baseline="0">
              <a:solidFill>
                <a:srgbClr val="000000"/>
              </a:solidFill>
              <a:latin typeface="Tahoma"/>
              <a:ea typeface="Tahoma"/>
              <a:cs typeface="Tahoma"/>
            </a:rPr>
            <a:t>Annan beräkning/förslag (bifogas)</a:t>
          </a:r>
        </a:p>
      </xdr:txBody>
    </xdr:sp>
    <xdr:clientData fLocksWithSheet="0"/>
  </xdr:twoCellAnchor>
  <xdr:twoCellAnchor editAs="oneCell">
    <xdr:from>
      <xdr:col>4</xdr:col>
      <xdr:colOff>9525</xdr:colOff>
      <xdr:row>309</xdr:row>
      <xdr:rowOff>0</xdr:rowOff>
    </xdr:from>
    <xdr:to>
      <xdr:col>4</xdr:col>
      <xdr:colOff>897255</xdr:colOff>
      <xdr:row>310</xdr:row>
      <xdr:rowOff>0</xdr:rowOff>
    </xdr:to>
    <xdr:sp macro="" textlink="">
      <xdr:nvSpPr>
        <xdr:cNvPr id="62" name="Nedrullningsbar listruta 277" hidden="1">
          <a:extLst>
            <a:ext uri="{63B3BB69-23CF-44E3-9099-C40C66FF867C}">
              <a14:compatExt xmlns:a14="http://schemas.microsoft.com/office/drawing/2010/main" spid="_x0000_s1301"/>
            </a:ext>
            <a:ext uri="{FF2B5EF4-FFF2-40B4-BE49-F238E27FC236}">
              <a16:creationId xmlns:a16="http://schemas.microsoft.com/office/drawing/2014/main" id="{00000000-0008-0000-0300-00003E0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4</xdr:col>
      <xdr:colOff>9525</xdr:colOff>
      <xdr:row>310</xdr:row>
      <xdr:rowOff>0</xdr:rowOff>
    </xdr:from>
    <xdr:to>
      <xdr:col>4</xdr:col>
      <xdr:colOff>897255</xdr:colOff>
      <xdr:row>311</xdr:row>
      <xdr:rowOff>0</xdr:rowOff>
    </xdr:to>
    <xdr:sp macro="" textlink="">
      <xdr:nvSpPr>
        <xdr:cNvPr id="63" name="Nedrullningsbar listruta 278" hidden="1">
          <a:extLst>
            <a:ext uri="{63B3BB69-23CF-44E3-9099-C40C66FF867C}">
              <a14:compatExt xmlns:a14="http://schemas.microsoft.com/office/drawing/2010/main" spid="_x0000_s1302"/>
            </a:ext>
            <a:ext uri="{FF2B5EF4-FFF2-40B4-BE49-F238E27FC236}">
              <a16:creationId xmlns:a16="http://schemas.microsoft.com/office/drawing/2014/main" id="{00000000-0008-0000-0300-00003F0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4</xdr:col>
      <xdr:colOff>9525</xdr:colOff>
      <xdr:row>311</xdr:row>
      <xdr:rowOff>0</xdr:rowOff>
    </xdr:from>
    <xdr:to>
      <xdr:col>4</xdr:col>
      <xdr:colOff>897255</xdr:colOff>
      <xdr:row>312</xdr:row>
      <xdr:rowOff>0</xdr:rowOff>
    </xdr:to>
    <xdr:sp macro="" textlink="">
      <xdr:nvSpPr>
        <xdr:cNvPr id="64" name="Nedrullningsbar listruta 279" hidden="1">
          <a:extLst>
            <a:ext uri="{63B3BB69-23CF-44E3-9099-C40C66FF867C}">
              <a14:compatExt xmlns:a14="http://schemas.microsoft.com/office/drawing/2010/main" spid="_x0000_s1303"/>
            </a:ext>
            <a:ext uri="{FF2B5EF4-FFF2-40B4-BE49-F238E27FC236}">
              <a16:creationId xmlns:a16="http://schemas.microsoft.com/office/drawing/2014/main" id="{00000000-0008-0000-0300-0000400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4</xdr:col>
      <xdr:colOff>9525</xdr:colOff>
      <xdr:row>312</xdr:row>
      <xdr:rowOff>0</xdr:rowOff>
    </xdr:from>
    <xdr:to>
      <xdr:col>4</xdr:col>
      <xdr:colOff>897255</xdr:colOff>
      <xdr:row>313</xdr:row>
      <xdr:rowOff>0</xdr:rowOff>
    </xdr:to>
    <xdr:sp macro="" textlink="">
      <xdr:nvSpPr>
        <xdr:cNvPr id="65" name="Nedrullningsbar listruta 280" hidden="1">
          <a:extLst>
            <a:ext uri="{63B3BB69-23CF-44E3-9099-C40C66FF867C}">
              <a14:compatExt xmlns:a14="http://schemas.microsoft.com/office/drawing/2010/main" spid="_x0000_s1304"/>
            </a:ext>
            <a:ext uri="{FF2B5EF4-FFF2-40B4-BE49-F238E27FC236}">
              <a16:creationId xmlns:a16="http://schemas.microsoft.com/office/drawing/2014/main" id="{00000000-0008-0000-0300-0000410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4</xdr:col>
      <xdr:colOff>9525</xdr:colOff>
      <xdr:row>313</xdr:row>
      <xdr:rowOff>0</xdr:rowOff>
    </xdr:from>
    <xdr:to>
      <xdr:col>4</xdr:col>
      <xdr:colOff>897255</xdr:colOff>
      <xdr:row>314</xdr:row>
      <xdr:rowOff>0</xdr:rowOff>
    </xdr:to>
    <xdr:sp macro="" textlink="">
      <xdr:nvSpPr>
        <xdr:cNvPr id="66" name="Nedrullningsbar listruta 281" hidden="1">
          <a:extLst>
            <a:ext uri="{63B3BB69-23CF-44E3-9099-C40C66FF867C}">
              <a14:compatExt xmlns:a14="http://schemas.microsoft.com/office/drawing/2010/main" spid="_x0000_s1305"/>
            </a:ext>
            <a:ext uri="{FF2B5EF4-FFF2-40B4-BE49-F238E27FC236}">
              <a16:creationId xmlns:a16="http://schemas.microsoft.com/office/drawing/2014/main" id="{00000000-0008-0000-0300-0000420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4</xdr:col>
      <xdr:colOff>9525</xdr:colOff>
      <xdr:row>314</xdr:row>
      <xdr:rowOff>0</xdr:rowOff>
    </xdr:from>
    <xdr:to>
      <xdr:col>4</xdr:col>
      <xdr:colOff>897255</xdr:colOff>
      <xdr:row>315</xdr:row>
      <xdr:rowOff>0</xdr:rowOff>
    </xdr:to>
    <xdr:sp macro="" textlink="">
      <xdr:nvSpPr>
        <xdr:cNvPr id="67" name="Nedrullningsbar listruta 282" hidden="1">
          <a:extLst>
            <a:ext uri="{63B3BB69-23CF-44E3-9099-C40C66FF867C}">
              <a14:compatExt xmlns:a14="http://schemas.microsoft.com/office/drawing/2010/main" spid="_x0000_s1306"/>
            </a:ext>
            <a:ext uri="{FF2B5EF4-FFF2-40B4-BE49-F238E27FC236}">
              <a16:creationId xmlns:a16="http://schemas.microsoft.com/office/drawing/2014/main" id="{00000000-0008-0000-0300-0000430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4</xdr:col>
      <xdr:colOff>9525</xdr:colOff>
      <xdr:row>315</xdr:row>
      <xdr:rowOff>0</xdr:rowOff>
    </xdr:from>
    <xdr:to>
      <xdr:col>4</xdr:col>
      <xdr:colOff>897255</xdr:colOff>
      <xdr:row>316</xdr:row>
      <xdr:rowOff>0</xdr:rowOff>
    </xdr:to>
    <xdr:sp macro="" textlink="">
      <xdr:nvSpPr>
        <xdr:cNvPr id="68" name="Nedrullningsbar listruta 283" hidden="1">
          <a:extLst>
            <a:ext uri="{63B3BB69-23CF-44E3-9099-C40C66FF867C}">
              <a14:compatExt xmlns:a14="http://schemas.microsoft.com/office/drawing/2010/main" spid="_x0000_s1307"/>
            </a:ext>
            <a:ext uri="{FF2B5EF4-FFF2-40B4-BE49-F238E27FC236}">
              <a16:creationId xmlns:a16="http://schemas.microsoft.com/office/drawing/2014/main" id="{00000000-0008-0000-0300-0000440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4</xdr:col>
      <xdr:colOff>9525</xdr:colOff>
      <xdr:row>316</xdr:row>
      <xdr:rowOff>0</xdr:rowOff>
    </xdr:from>
    <xdr:to>
      <xdr:col>4</xdr:col>
      <xdr:colOff>897255</xdr:colOff>
      <xdr:row>317</xdr:row>
      <xdr:rowOff>0</xdr:rowOff>
    </xdr:to>
    <xdr:sp macro="" textlink="">
      <xdr:nvSpPr>
        <xdr:cNvPr id="69" name="Nedrullningsbar listruta 284" hidden="1">
          <a:extLst>
            <a:ext uri="{63B3BB69-23CF-44E3-9099-C40C66FF867C}">
              <a14:compatExt xmlns:a14="http://schemas.microsoft.com/office/drawing/2010/main" spid="_x0000_s1308"/>
            </a:ext>
            <a:ext uri="{FF2B5EF4-FFF2-40B4-BE49-F238E27FC236}">
              <a16:creationId xmlns:a16="http://schemas.microsoft.com/office/drawing/2014/main" id="{00000000-0008-0000-0300-0000450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4</xdr:col>
      <xdr:colOff>9525</xdr:colOff>
      <xdr:row>317</xdr:row>
      <xdr:rowOff>0</xdr:rowOff>
    </xdr:from>
    <xdr:to>
      <xdr:col>4</xdr:col>
      <xdr:colOff>897255</xdr:colOff>
      <xdr:row>318</xdr:row>
      <xdr:rowOff>0</xdr:rowOff>
    </xdr:to>
    <xdr:sp macro="" textlink="">
      <xdr:nvSpPr>
        <xdr:cNvPr id="70" name="Nedrullningsbar listruta 285" hidden="1">
          <a:extLst>
            <a:ext uri="{63B3BB69-23CF-44E3-9099-C40C66FF867C}">
              <a14:compatExt xmlns:a14="http://schemas.microsoft.com/office/drawing/2010/main" spid="_x0000_s1309"/>
            </a:ext>
            <a:ext uri="{FF2B5EF4-FFF2-40B4-BE49-F238E27FC236}">
              <a16:creationId xmlns:a16="http://schemas.microsoft.com/office/drawing/2014/main" id="{00000000-0008-0000-0300-0000460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4</xdr:col>
      <xdr:colOff>9525</xdr:colOff>
      <xdr:row>318</xdr:row>
      <xdr:rowOff>0</xdr:rowOff>
    </xdr:from>
    <xdr:to>
      <xdr:col>4</xdr:col>
      <xdr:colOff>897255</xdr:colOff>
      <xdr:row>319</xdr:row>
      <xdr:rowOff>0</xdr:rowOff>
    </xdr:to>
    <xdr:sp macro="" textlink="">
      <xdr:nvSpPr>
        <xdr:cNvPr id="71" name="Nedrullningsbar listruta 286" hidden="1">
          <a:extLst>
            <a:ext uri="{63B3BB69-23CF-44E3-9099-C40C66FF867C}">
              <a14:compatExt xmlns:a14="http://schemas.microsoft.com/office/drawing/2010/main" spid="_x0000_s1310"/>
            </a:ext>
            <a:ext uri="{FF2B5EF4-FFF2-40B4-BE49-F238E27FC236}">
              <a16:creationId xmlns:a16="http://schemas.microsoft.com/office/drawing/2014/main" id="{00000000-0008-0000-0300-0000470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4</xdr:col>
      <xdr:colOff>9525</xdr:colOff>
      <xdr:row>319</xdr:row>
      <xdr:rowOff>0</xdr:rowOff>
    </xdr:from>
    <xdr:to>
      <xdr:col>4</xdr:col>
      <xdr:colOff>897255</xdr:colOff>
      <xdr:row>320</xdr:row>
      <xdr:rowOff>0</xdr:rowOff>
    </xdr:to>
    <xdr:sp macro="" textlink="">
      <xdr:nvSpPr>
        <xdr:cNvPr id="72" name="Nedrullningsbar listruta 287" hidden="1">
          <a:extLst>
            <a:ext uri="{63B3BB69-23CF-44E3-9099-C40C66FF867C}">
              <a14:compatExt xmlns:a14="http://schemas.microsoft.com/office/drawing/2010/main" spid="_x0000_s1311"/>
            </a:ext>
            <a:ext uri="{FF2B5EF4-FFF2-40B4-BE49-F238E27FC236}">
              <a16:creationId xmlns:a16="http://schemas.microsoft.com/office/drawing/2014/main" id="{00000000-0008-0000-0300-0000480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4</xdr:col>
      <xdr:colOff>9525</xdr:colOff>
      <xdr:row>320</xdr:row>
      <xdr:rowOff>0</xdr:rowOff>
    </xdr:from>
    <xdr:to>
      <xdr:col>4</xdr:col>
      <xdr:colOff>897255</xdr:colOff>
      <xdr:row>321</xdr:row>
      <xdr:rowOff>0</xdr:rowOff>
    </xdr:to>
    <xdr:sp macro="" textlink="">
      <xdr:nvSpPr>
        <xdr:cNvPr id="73" name="Nedrullningsbar listruta 288" hidden="1">
          <a:extLst>
            <a:ext uri="{63B3BB69-23CF-44E3-9099-C40C66FF867C}">
              <a14:compatExt xmlns:a14="http://schemas.microsoft.com/office/drawing/2010/main" spid="_x0000_s1312"/>
            </a:ext>
            <a:ext uri="{FF2B5EF4-FFF2-40B4-BE49-F238E27FC236}">
              <a16:creationId xmlns:a16="http://schemas.microsoft.com/office/drawing/2014/main" id="{00000000-0008-0000-0300-0000490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19050</xdr:colOff>
      <xdr:row>328</xdr:row>
      <xdr:rowOff>0</xdr:rowOff>
    </xdr:from>
    <xdr:to>
      <xdr:col>7</xdr:col>
      <xdr:colOff>57150</xdr:colOff>
      <xdr:row>329</xdr:row>
      <xdr:rowOff>0</xdr:rowOff>
    </xdr:to>
    <xdr:sp macro="" textlink="">
      <xdr:nvSpPr>
        <xdr:cNvPr id="74" name="Check Box 5" descr="Beslutad av &#10;Länsstyrelsen" hidden="1">
          <a:extLst>
            <a:ext uri="{63B3BB69-23CF-44E3-9099-C40C66FF867C}">
              <a14:compatExt xmlns:a14="http://schemas.microsoft.com/office/drawing/2010/main" spid="_x0000_s1029"/>
            </a:ext>
            <a:ext uri="{FF2B5EF4-FFF2-40B4-BE49-F238E27FC236}">
              <a16:creationId xmlns:a16="http://schemas.microsoft.com/office/drawing/2014/main" id="{00000000-0008-0000-0300-00004A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v-SE" sz="800" b="0" i="0" u="none" strike="noStrike" baseline="0">
              <a:solidFill>
                <a:srgbClr val="000000"/>
              </a:solidFill>
              <a:latin typeface="Tahoma"/>
              <a:ea typeface="Tahoma"/>
              <a:cs typeface="Tahoma"/>
            </a:rPr>
            <a:t>Beräkningsmodell Älgfrode (bifogas)</a:t>
          </a:r>
        </a:p>
      </xdr:txBody>
    </xdr:sp>
    <xdr:clientData fLocksWithSheet="0"/>
  </xdr:twoCellAnchor>
  <xdr:twoCellAnchor editAs="oneCell">
    <xdr:from>
      <xdr:col>1</xdr:col>
      <xdr:colOff>28575</xdr:colOff>
      <xdr:row>194</xdr:row>
      <xdr:rowOff>9525</xdr:rowOff>
    </xdr:from>
    <xdr:to>
      <xdr:col>2</xdr:col>
      <xdr:colOff>19050</xdr:colOff>
      <xdr:row>194</xdr:row>
      <xdr:rowOff>257175</xdr:rowOff>
    </xdr:to>
    <xdr:sp macro="" textlink="">
      <xdr:nvSpPr>
        <xdr:cNvPr id="75"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300-00004B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28575</xdr:colOff>
      <xdr:row>194</xdr:row>
      <xdr:rowOff>9525</xdr:rowOff>
    </xdr:from>
    <xdr:to>
      <xdr:col>2</xdr:col>
      <xdr:colOff>923925</xdr:colOff>
      <xdr:row>194</xdr:row>
      <xdr:rowOff>257175</xdr:rowOff>
    </xdr:to>
    <xdr:sp macro="" textlink="">
      <xdr:nvSpPr>
        <xdr:cNvPr id="76" name="Check Box 34" hidden="1">
          <a:extLst>
            <a:ext uri="{63B3BB69-23CF-44E3-9099-C40C66FF867C}">
              <a14:compatExt xmlns:a14="http://schemas.microsoft.com/office/drawing/2010/main" spid="_x0000_s1058"/>
            </a:ext>
            <a:ext uri="{FF2B5EF4-FFF2-40B4-BE49-F238E27FC236}">
              <a16:creationId xmlns:a16="http://schemas.microsoft.com/office/drawing/2014/main" id="{00000000-0008-0000-0300-00004C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28575</xdr:colOff>
      <xdr:row>194</xdr:row>
      <xdr:rowOff>9525</xdr:rowOff>
    </xdr:from>
    <xdr:to>
      <xdr:col>4</xdr:col>
      <xdr:colOff>19050</xdr:colOff>
      <xdr:row>194</xdr:row>
      <xdr:rowOff>257175</xdr:rowOff>
    </xdr:to>
    <xdr:sp macro="" textlink="">
      <xdr:nvSpPr>
        <xdr:cNvPr id="77" name="Check Box 35" hidden="1">
          <a:extLst>
            <a:ext uri="{63B3BB69-23CF-44E3-9099-C40C66FF867C}">
              <a14:compatExt xmlns:a14="http://schemas.microsoft.com/office/drawing/2010/main" spid="_x0000_s1059"/>
            </a:ext>
            <a:ext uri="{FF2B5EF4-FFF2-40B4-BE49-F238E27FC236}">
              <a16:creationId xmlns:a16="http://schemas.microsoft.com/office/drawing/2014/main" id="{00000000-0008-0000-0300-00004D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28575</xdr:colOff>
      <xdr:row>195</xdr:row>
      <xdr:rowOff>9525</xdr:rowOff>
    </xdr:from>
    <xdr:to>
      <xdr:col>2</xdr:col>
      <xdr:colOff>19050</xdr:colOff>
      <xdr:row>195</xdr:row>
      <xdr:rowOff>257175</xdr:rowOff>
    </xdr:to>
    <xdr:sp macro="" textlink="">
      <xdr:nvSpPr>
        <xdr:cNvPr id="78" name="Check Box 36" hidden="1">
          <a:extLst>
            <a:ext uri="{63B3BB69-23CF-44E3-9099-C40C66FF867C}">
              <a14:compatExt xmlns:a14="http://schemas.microsoft.com/office/drawing/2010/main" spid="_x0000_s1060"/>
            </a:ext>
            <a:ext uri="{FF2B5EF4-FFF2-40B4-BE49-F238E27FC236}">
              <a16:creationId xmlns:a16="http://schemas.microsoft.com/office/drawing/2014/main" id="{00000000-0008-0000-0300-00004E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28575</xdr:colOff>
      <xdr:row>195</xdr:row>
      <xdr:rowOff>9525</xdr:rowOff>
    </xdr:from>
    <xdr:to>
      <xdr:col>2</xdr:col>
      <xdr:colOff>923925</xdr:colOff>
      <xdr:row>195</xdr:row>
      <xdr:rowOff>257175</xdr:rowOff>
    </xdr:to>
    <xdr:sp macro="" textlink="">
      <xdr:nvSpPr>
        <xdr:cNvPr id="79" name="Check Box 37" hidden="1">
          <a:extLst>
            <a:ext uri="{63B3BB69-23CF-44E3-9099-C40C66FF867C}">
              <a14:compatExt xmlns:a14="http://schemas.microsoft.com/office/drawing/2010/main" spid="_x0000_s1061"/>
            </a:ext>
            <a:ext uri="{FF2B5EF4-FFF2-40B4-BE49-F238E27FC236}">
              <a16:creationId xmlns:a16="http://schemas.microsoft.com/office/drawing/2014/main" id="{00000000-0008-0000-0300-00004F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28575</xdr:colOff>
      <xdr:row>195</xdr:row>
      <xdr:rowOff>9525</xdr:rowOff>
    </xdr:from>
    <xdr:to>
      <xdr:col>4</xdr:col>
      <xdr:colOff>19050</xdr:colOff>
      <xdr:row>195</xdr:row>
      <xdr:rowOff>257175</xdr:rowOff>
    </xdr:to>
    <xdr:sp macro="" textlink="">
      <xdr:nvSpPr>
        <xdr:cNvPr id="80"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300-000050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28575</xdr:colOff>
      <xdr:row>196</xdr:row>
      <xdr:rowOff>9525</xdr:rowOff>
    </xdr:from>
    <xdr:to>
      <xdr:col>2</xdr:col>
      <xdr:colOff>19050</xdr:colOff>
      <xdr:row>196</xdr:row>
      <xdr:rowOff>257175</xdr:rowOff>
    </xdr:to>
    <xdr:sp macro="" textlink="">
      <xdr:nvSpPr>
        <xdr:cNvPr id="81" name="Check Box 39" hidden="1">
          <a:extLst>
            <a:ext uri="{63B3BB69-23CF-44E3-9099-C40C66FF867C}">
              <a14:compatExt xmlns:a14="http://schemas.microsoft.com/office/drawing/2010/main" spid="_x0000_s1063"/>
            </a:ext>
            <a:ext uri="{FF2B5EF4-FFF2-40B4-BE49-F238E27FC236}">
              <a16:creationId xmlns:a16="http://schemas.microsoft.com/office/drawing/2014/main" id="{00000000-0008-0000-0300-000051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28575</xdr:colOff>
      <xdr:row>196</xdr:row>
      <xdr:rowOff>9525</xdr:rowOff>
    </xdr:from>
    <xdr:to>
      <xdr:col>2</xdr:col>
      <xdr:colOff>923925</xdr:colOff>
      <xdr:row>196</xdr:row>
      <xdr:rowOff>257175</xdr:rowOff>
    </xdr:to>
    <xdr:sp macro="" textlink="">
      <xdr:nvSpPr>
        <xdr:cNvPr id="82" name="Check Box 40" hidden="1">
          <a:extLst>
            <a:ext uri="{63B3BB69-23CF-44E3-9099-C40C66FF867C}">
              <a14:compatExt xmlns:a14="http://schemas.microsoft.com/office/drawing/2010/main" spid="_x0000_s1064"/>
            </a:ext>
            <a:ext uri="{FF2B5EF4-FFF2-40B4-BE49-F238E27FC236}">
              <a16:creationId xmlns:a16="http://schemas.microsoft.com/office/drawing/2014/main" id="{00000000-0008-0000-0300-000052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28575</xdr:colOff>
      <xdr:row>196</xdr:row>
      <xdr:rowOff>9525</xdr:rowOff>
    </xdr:from>
    <xdr:to>
      <xdr:col>4</xdr:col>
      <xdr:colOff>19050</xdr:colOff>
      <xdr:row>196</xdr:row>
      <xdr:rowOff>257175</xdr:rowOff>
    </xdr:to>
    <xdr:sp macro="" textlink="">
      <xdr:nvSpPr>
        <xdr:cNvPr id="83" name="Check Box 41" hidden="1">
          <a:extLst>
            <a:ext uri="{63B3BB69-23CF-44E3-9099-C40C66FF867C}">
              <a14:compatExt xmlns:a14="http://schemas.microsoft.com/office/drawing/2010/main" spid="_x0000_s1065"/>
            </a:ext>
            <a:ext uri="{FF2B5EF4-FFF2-40B4-BE49-F238E27FC236}">
              <a16:creationId xmlns:a16="http://schemas.microsoft.com/office/drawing/2014/main" id="{00000000-0008-0000-0300-000053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28575</xdr:colOff>
      <xdr:row>197</xdr:row>
      <xdr:rowOff>9525</xdr:rowOff>
    </xdr:from>
    <xdr:to>
      <xdr:col>2</xdr:col>
      <xdr:colOff>19050</xdr:colOff>
      <xdr:row>197</xdr:row>
      <xdr:rowOff>257175</xdr:rowOff>
    </xdr:to>
    <xdr:sp macro="" textlink="">
      <xdr:nvSpPr>
        <xdr:cNvPr id="84" name="Check Box 42" hidden="1">
          <a:extLst>
            <a:ext uri="{63B3BB69-23CF-44E3-9099-C40C66FF867C}">
              <a14:compatExt xmlns:a14="http://schemas.microsoft.com/office/drawing/2010/main" spid="_x0000_s1066"/>
            </a:ext>
            <a:ext uri="{FF2B5EF4-FFF2-40B4-BE49-F238E27FC236}">
              <a16:creationId xmlns:a16="http://schemas.microsoft.com/office/drawing/2014/main" id="{00000000-0008-0000-0300-000054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28575</xdr:colOff>
      <xdr:row>197</xdr:row>
      <xdr:rowOff>9525</xdr:rowOff>
    </xdr:from>
    <xdr:to>
      <xdr:col>2</xdr:col>
      <xdr:colOff>923925</xdr:colOff>
      <xdr:row>197</xdr:row>
      <xdr:rowOff>257175</xdr:rowOff>
    </xdr:to>
    <xdr:sp macro="" textlink="">
      <xdr:nvSpPr>
        <xdr:cNvPr id="85" name="Check Box 43" hidden="1">
          <a:extLst>
            <a:ext uri="{63B3BB69-23CF-44E3-9099-C40C66FF867C}">
              <a14:compatExt xmlns:a14="http://schemas.microsoft.com/office/drawing/2010/main" spid="_x0000_s1067"/>
            </a:ext>
            <a:ext uri="{FF2B5EF4-FFF2-40B4-BE49-F238E27FC236}">
              <a16:creationId xmlns:a16="http://schemas.microsoft.com/office/drawing/2014/main" id="{00000000-0008-0000-0300-000055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28575</xdr:colOff>
      <xdr:row>197</xdr:row>
      <xdr:rowOff>9525</xdr:rowOff>
    </xdr:from>
    <xdr:to>
      <xdr:col>4</xdr:col>
      <xdr:colOff>19050</xdr:colOff>
      <xdr:row>197</xdr:row>
      <xdr:rowOff>257175</xdr:rowOff>
    </xdr:to>
    <xdr:sp macro="" textlink="">
      <xdr:nvSpPr>
        <xdr:cNvPr id="86" name="Check Box 44" hidden="1">
          <a:extLst>
            <a:ext uri="{63B3BB69-23CF-44E3-9099-C40C66FF867C}">
              <a14:compatExt xmlns:a14="http://schemas.microsoft.com/office/drawing/2010/main" spid="_x0000_s1068"/>
            </a:ext>
            <a:ext uri="{FF2B5EF4-FFF2-40B4-BE49-F238E27FC236}">
              <a16:creationId xmlns:a16="http://schemas.microsoft.com/office/drawing/2014/main" id="{00000000-0008-0000-0300-000056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28575</xdr:colOff>
      <xdr:row>176</xdr:row>
      <xdr:rowOff>9525</xdr:rowOff>
    </xdr:from>
    <xdr:to>
      <xdr:col>2</xdr:col>
      <xdr:colOff>9525</xdr:colOff>
      <xdr:row>176</xdr:row>
      <xdr:rowOff>257175</xdr:rowOff>
    </xdr:to>
    <xdr:sp macro="" textlink="">
      <xdr:nvSpPr>
        <xdr:cNvPr id="87" name="Check Box 45" hidden="1">
          <a:extLst>
            <a:ext uri="{63B3BB69-23CF-44E3-9099-C40C66FF867C}">
              <a14:compatExt xmlns:a14="http://schemas.microsoft.com/office/drawing/2010/main" spid="_x0000_s1069"/>
            </a:ext>
            <a:ext uri="{FF2B5EF4-FFF2-40B4-BE49-F238E27FC236}">
              <a16:creationId xmlns:a16="http://schemas.microsoft.com/office/drawing/2014/main" id="{00000000-0008-0000-0300-000057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28575</xdr:colOff>
      <xdr:row>176</xdr:row>
      <xdr:rowOff>9525</xdr:rowOff>
    </xdr:from>
    <xdr:to>
      <xdr:col>2</xdr:col>
      <xdr:colOff>923925</xdr:colOff>
      <xdr:row>176</xdr:row>
      <xdr:rowOff>257175</xdr:rowOff>
    </xdr:to>
    <xdr:sp macro="" textlink="">
      <xdr:nvSpPr>
        <xdr:cNvPr id="88" name="Check Box 46" hidden="1">
          <a:extLst>
            <a:ext uri="{63B3BB69-23CF-44E3-9099-C40C66FF867C}">
              <a14:compatExt xmlns:a14="http://schemas.microsoft.com/office/drawing/2010/main" spid="_x0000_s1070"/>
            </a:ext>
            <a:ext uri="{FF2B5EF4-FFF2-40B4-BE49-F238E27FC236}">
              <a16:creationId xmlns:a16="http://schemas.microsoft.com/office/drawing/2014/main" id="{00000000-0008-0000-0300-000058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28575</xdr:colOff>
      <xdr:row>176</xdr:row>
      <xdr:rowOff>9525</xdr:rowOff>
    </xdr:from>
    <xdr:to>
      <xdr:col>4</xdr:col>
      <xdr:colOff>9525</xdr:colOff>
      <xdr:row>176</xdr:row>
      <xdr:rowOff>257175</xdr:rowOff>
    </xdr:to>
    <xdr:sp macro="" textlink="">
      <xdr:nvSpPr>
        <xdr:cNvPr id="89" name="Check Box 48" hidden="1">
          <a:extLst>
            <a:ext uri="{63B3BB69-23CF-44E3-9099-C40C66FF867C}">
              <a14:compatExt xmlns:a14="http://schemas.microsoft.com/office/drawing/2010/main" spid="_x0000_s1072"/>
            </a:ext>
            <a:ext uri="{FF2B5EF4-FFF2-40B4-BE49-F238E27FC236}">
              <a16:creationId xmlns:a16="http://schemas.microsoft.com/office/drawing/2014/main" id="{00000000-0008-0000-0300-000059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19050</xdr:colOff>
      <xdr:row>234</xdr:row>
      <xdr:rowOff>9525</xdr:rowOff>
    </xdr:from>
    <xdr:to>
      <xdr:col>2</xdr:col>
      <xdr:colOff>0</xdr:colOff>
      <xdr:row>234</xdr:row>
      <xdr:rowOff>257175</xdr:rowOff>
    </xdr:to>
    <xdr:sp macro="" textlink="">
      <xdr:nvSpPr>
        <xdr:cNvPr id="90" name="Check Box 50" hidden="1">
          <a:extLst>
            <a:ext uri="{63B3BB69-23CF-44E3-9099-C40C66FF867C}">
              <a14:compatExt xmlns:a14="http://schemas.microsoft.com/office/drawing/2010/main" spid="_x0000_s1074"/>
            </a:ext>
            <a:ext uri="{FF2B5EF4-FFF2-40B4-BE49-F238E27FC236}">
              <a16:creationId xmlns:a16="http://schemas.microsoft.com/office/drawing/2014/main" id="{00000000-0008-0000-0300-00005A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19050</xdr:colOff>
      <xdr:row>234</xdr:row>
      <xdr:rowOff>9525</xdr:rowOff>
    </xdr:from>
    <xdr:to>
      <xdr:col>2</xdr:col>
      <xdr:colOff>914400</xdr:colOff>
      <xdr:row>234</xdr:row>
      <xdr:rowOff>257175</xdr:rowOff>
    </xdr:to>
    <xdr:sp macro="" textlink="">
      <xdr:nvSpPr>
        <xdr:cNvPr id="91" name="Check Box 51" hidden="1">
          <a:extLst>
            <a:ext uri="{63B3BB69-23CF-44E3-9099-C40C66FF867C}">
              <a14:compatExt xmlns:a14="http://schemas.microsoft.com/office/drawing/2010/main" spid="_x0000_s1075"/>
            </a:ext>
            <a:ext uri="{FF2B5EF4-FFF2-40B4-BE49-F238E27FC236}">
              <a16:creationId xmlns:a16="http://schemas.microsoft.com/office/drawing/2014/main" id="{00000000-0008-0000-0300-00005B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19050</xdr:colOff>
      <xdr:row>234</xdr:row>
      <xdr:rowOff>9525</xdr:rowOff>
    </xdr:from>
    <xdr:to>
      <xdr:col>4</xdr:col>
      <xdr:colOff>0</xdr:colOff>
      <xdr:row>234</xdr:row>
      <xdr:rowOff>257175</xdr:rowOff>
    </xdr:to>
    <xdr:sp macro="" textlink="">
      <xdr:nvSpPr>
        <xdr:cNvPr id="92" name="Check Box 53" hidden="1">
          <a:extLst>
            <a:ext uri="{63B3BB69-23CF-44E3-9099-C40C66FF867C}">
              <a14:compatExt xmlns:a14="http://schemas.microsoft.com/office/drawing/2010/main" spid="_x0000_s1077"/>
            </a:ext>
            <a:ext uri="{FF2B5EF4-FFF2-40B4-BE49-F238E27FC236}">
              <a16:creationId xmlns:a16="http://schemas.microsoft.com/office/drawing/2014/main" id="{00000000-0008-0000-0300-00005C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19050</xdr:colOff>
      <xdr:row>248</xdr:row>
      <xdr:rowOff>9525</xdr:rowOff>
    </xdr:from>
    <xdr:to>
      <xdr:col>2</xdr:col>
      <xdr:colOff>0</xdr:colOff>
      <xdr:row>248</xdr:row>
      <xdr:rowOff>257175</xdr:rowOff>
    </xdr:to>
    <xdr:sp macro="" textlink="">
      <xdr:nvSpPr>
        <xdr:cNvPr id="93" name="Check Box 57" hidden="1">
          <a:extLst>
            <a:ext uri="{63B3BB69-23CF-44E3-9099-C40C66FF867C}">
              <a14:compatExt xmlns:a14="http://schemas.microsoft.com/office/drawing/2010/main" spid="_x0000_s1081"/>
            </a:ext>
            <a:ext uri="{FF2B5EF4-FFF2-40B4-BE49-F238E27FC236}">
              <a16:creationId xmlns:a16="http://schemas.microsoft.com/office/drawing/2014/main" id="{00000000-0008-0000-0300-00005D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19050</xdr:colOff>
      <xdr:row>248</xdr:row>
      <xdr:rowOff>9525</xdr:rowOff>
    </xdr:from>
    <xdr:to>
      <xdr:col>2</xdr:col>
      <xdr:colOff>914400</xdr:colOff>
      <xdr:row>248</xdr:row>
      <xdr:rowOff>257175</xdr:rowOff>
    </xdr:to>
    <xdr:sp macro="" textlink="">
      <xdr:nvSpPr>
        <xdr:cNvPr id="94" name="Check Box 58" hidden="1">
          <a:extLst>
            <a:ext uri="{63B3BB69-23CF-44E3-9099-C40C66FF867C}">
              <a14:compatExt xmlns:a14="http://schemas.microsoft.com/office/drawing/2010/main" spid="_x0000_s1082"/>
            </a:ext>
            <a:ext uri="{FF2B5EF4-FFF2-40B4-BE49-F238E27FC236}">
              <a16:creationId xmlns:a16="http://schemas.microsoft.com/office/drawing/2014/main" id="{00000000-0008-0000-0300-00005E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19050</xdr:colOff>
      <xdr:row>249</xdr:row>
      <xdr:rowOff>9525</xdr:rowOff>
    </xdr:from>
    <xdr:to>
      <xdr:col>2</xdr:col>
      <xdr:colOff>0</xdr:colOff>
      <xdr:row>249</xdr:row>
      <xdr:rowOff>257175</xdr:rowOff>
    </xdr:to>
    <xdr:sp macro="" textlink="">
      <xdr:nvSpPr>
        <xdr:cNvPr id="95" name="Check Box 59" hidden="1">
          <a:extLst>
            <a:ext uri="{63B3BB69-23CF-44E3-9099-C40C66FF867C}">
              <a14:compatExt xmlns:a14="http://schemas.microsoft.com/office/drawing/2010/main" spid="_x0000_s1083"/>
            </a:ext>
            <a:ext uri="{FF2B5EF4-FFF2-40B4-BE49-F238E27FC236}">
              <a16:creationId xmlns:a16="http://schemas.microsoft.com/office/drawing/2014/main" id="{00000000-0008-0000-0300-00005F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19050</xdr:colOff>
      <xdr:row>249</xdr:row>
      <xdr:rowOff>9525</xdr:rowOff>
    </xdr:from>
    <xdr:to>
      <xdr:col>2</xdr:col>
      <xdr:colOff>914400</xdr:colOff>
      <xdr:row>249</xdr:row>
      <xdr:rowOff>257175</xdr:rowOff>
    </xdr:to>
    <xdr:sp macro="" textlink="">
      <xdr:nvSpPr>
        <xdr:cNvPr id="96" name="Check Box 61" hidden="1">
          <a:extLst>
            <a:ext uri="{63B3BB69-23CF-44E3-9099-C40C66FF867C}">
              <a14:compatExt xmlns:a14="http://schemas.microsoft.com/office/drawing/2010/main" spid="_x0000_s1085"/>
            </a:ext>
            <a:ext uri="{FF2B5EF4-FFF2-40B4-BE49-F238E27FC236}">
              <a16:creationId xmlns:a16="http://schemas.microsoft.com/office/drawing/2014/main" id="{00000000-0008-0000-0300-000060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19050</xdr:colOff>
      <xdr:row>261</xdr:row>
      <xdr:rowOff>9525</xdr:rowOff>
    </xdr:from>
    <xdr:to>
      <xdr:col>2</xdr:col>
      <xdr:colOff>914400</xdr:colOff>
      <xdr:row>261</xdr:row>
      <xdr:rowOff>257175</xdr:rowOff>
    </xdr:to>
    <xdr:sp macro="" textlink="">
      <xdr:nvSpPr>
        <xdr:cNvPr id="97" name="Check Box 63" hidden="1">
          <a:extLst>
            <a:ext uri="{63B3BB69-23CF-44E3-9099-C40C66FF867C}">
              <a14:compatExt xmlns:a14="http://schemas.microsoft.com/office/drawing/2010/main" spid="_x0000_s1087"/>
            </a:ext>
            <a:ext uri="{FF2B5EF4-FFF2-40B4-BE49-F238E27FC236}">
              <a16:creationId xmlns:a16="http://schemas.microsoft.com/office/drawing/2014/main" id="{00000000-0008-0000-0300-000061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19050</xdr:colOff>
      <xdr:row>261</xdr:row>
      <xdr:rowOff>9525</xdr:rowOff>
    </xdr:from>
    <xdr:to>
      <xdr:col>2</xdr:col>
      <xdr:colOff>0</xdr:colOff>
      <xdr:row>261</xdr:row>
      <xdr:rowOff>257175</xdr:rowOff>
    </xdr:to>
    <xdr:sp macro="" textlink="">
      <xdr:nvSpPr>
        <xdr:cNvPr id="98" name="Check Box 64" hidden="1">
          <a:extLst>
            <a:ext uri="{63B3BB69-23CF-44E3-9099-C40C66FF867C}">
              <a14:compatExt xmlns:a14="http://schemas.microsoft.com/office/drawing/2010/main" spid="_x0000_s1088"/>
            </a:ext>
            <a:ext uri="{FF2B5EF4-FFF2-40B4-BE49-F238E27FC236}">
              <a16:creationId xmlns:a16="http://schemas.microsoft.com/office/drawing/2014/main" id="{00000000-0008-0000-0300-000062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19050</xdr:colOff>
      <xdr:row>343</xdr:row>
      <xdr:rowOff>9525</xdr:rowOff>
    </xdr:from>
    <xdr:to>
      <xdr:col>2</xdr:col>
      <xdr:colOff>914400</xdr:colOff>
      <xdr:row>343</xdr:row>
      <xdr:rowOff>257175</xdr:rowOff>
    </xdr:to>
    <xdr:sp macro="" textlink="">
      <xdr:nvSpPr>
        <xdr:cNvPr id="99" name="Check Box 68" hidden="1">
          <a:extLst>
            <a:ext uri="{63B3BB69-23CF-44E3-9099-C40C66FF867C}">
              <a14:compatExt xmlns:a14="http://schemas.microsoft.com/office/drawing/2010/main" spid="_x0000_s1092"/>
            </a:ext>
            <a:ext uri="{FF2B5EF4-FFF2-40B4-BE49-F238E27FC236}">
              <a16:creationId xmlns:a16="http://schemas.microsoft.com/office/drawing/2014/main" id="{00000000-0008-0000-0300-000063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19050</xdr:colOff>
      <xdr:row>343</xdr:row>
      <xdr:rowOff>9525</xdr:rowOff>
    </xdr:from>
    <xdr:to>
      <xdr:col>2</xdr:col>
      <xdr:colOff>0</xdr:colOff>
      <xdr:row>343</xdr:row>
      <xdr:rowOff>257175</xdr:rowOff>
    </xdr:to>
    <xdr:sp macro="" textlink="">
      <xdr:nvSpPr>
        <xdr:cNvPr id="100" name="Check Box 69" hidden="1">
          <a:extLst>
            <a:ext uri="{63B3BB69-23CF-44E3-9099-C40C66FF867C}">
              <a14:compatExt xmlns:a14="http://schemas.microsoft.com/office/drawing/2010/main" spid="_x0000_s1093"/>
            </a:ext>
            <a:ext uri="{FF2B5EF4-FFF2-40B4-BE49-F238E27FC236}">
              <a16:creationId xmlns:a16="http://schemas.microsoft.com/office/drawing/2014/main" id="{00000000-0008-0000-0300-000064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19050</xdr:colOff>
      <xdr:row>343</xdr:row>
      <xdr:rowOff>9525</xdr:rowOff>
    </xdr:from>
    <xdr:to>
      <xdr:col>4</xdr:col>
      <xdr:colOff>0</xdr:colOff>
      <xdr:row>343</xdr:row>
      <xdr:rowOff>257175</xdr:rowOff>
    </xdr:to>
    <xdr:sp macro="" textlink="">
      <xdr:nvSpPr>
        <xdr:cNvPr id="101" name="Check Box 70" hidden="1">
          <a:extLst>
            <a:ext uri="{63B3BB69-23CF-44E3-9099-C40C66FF867C}">
              <a14:compatExt xmlns:a14="http://schemas.microsoft.com/office/drawing/2010/main" spid="_x0000_s1094"/>
            </a:ext>
            <a:ext uri="{FF2B5EF4-FFF2-40B4-BE49-F238E27FC236}">
              <a16:creationId xmlns:a16="http://schemas.microsoft.com/office/drawing/2014/main" id="{00000000-0008-0000-0300-000065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19050</xdr:colOff>
      <xdr:row>344</xdr:row>
      <xdr:rowOff>9525</xdr:rowOff>
    </xdr:from>
    <xdr:to>
      <xdr:col>2</xdr:col>
      <xdr:colOff>0</xdr:colOff>
      <xdr:row>344</xdr:row>
      <xdr:rowOff>257175</xdr:rowOff>
    </xdr:to>
    <xdr:sp macro="" textlink="">
      <xdr:nvSpPr>
        <xdr:cNvPr id="102" name="Check Box 71" hidden="1">
          <a:extLst>
            <a:ext uri="{63B3BB69-23CF-44E3-9099-C40C66FF867C}">
              <a14:compatExt xmlns:a14="http://schemas.microsoft.com/office/drawing/2010/main" spid="_x0000_s1095"/>
            </a:ext>
            <a:ext uri="{FF2B5EF4-FFF2-40B4-BE49-F238E27FC236}">
              <a16:creationId xmlns:a16="http://schemas.microsoft.com/office/drawing/2014/main" id="{00000000-0008-0000-0300-000066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19050</xdr:colOff>
      <xdr:row>344</xdr:row>
      <xdr:rowOff>9525</xdr:rowOff>
    </xdr:from>
    <xdr:to>
      <xdr:col>2</xdr:col>
      <xdr:colOff>914400</xdr:colOff>
      <xdr:row>344</xdr:row>
      <xdr:rowOff>257175</xdr:rowOff>
    </xdr:to>
    <xdr:sp macro="" textlink="">
      <xdr:nvSpPr>
        <xdr:cNvPr id="103" name="Check Box 72" hidden="1">
          <a:extLst>
            <a:ext uri="{63B3BB69-23CF-44E3-9099-C40C66FF867C}">
              <a14:compatExt xmlns:a14="http://schemas.microsoft.com/office/drawing/2010/main" spid="_x0000_s1096"/>
            </a:ext>
            <a:ext uri="{FF2B5EF4-FFF2-40B4-BE49-F238E27FC236}">
              <a16:creationId xmlns:a16="http://schemas.microsoft.com/office/drawing/2014/main" id="{00000000-0008-0000-0300-000067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19050</xdr:colOff>
      <xdr:row>344</xdr:row>
      <xdr:rowOff>9525</xdr:rowOff>
    </xdr:from>
    <xdr:to>
      <xdr:col>4</xdr:col>
      <xdr:colOff>0</xdr:colOff>
      <xdr:row>344</xdr:row>
      <xdr:rowOff>257175</xdr:rowOff>
    </xdr:to>
    <xdr:sp macro="" textlink="">
      <xdr:nvSpPr>
        <xdr:cNvPr id="104" name="Check Box 73" hidden="1">
          <a:extLst>
            <a:ext uri="{63B3BB69-23CF-44E3-9099-C40C66FF867C}">
              <a14:compatExt xmlns:a14="http://schemas.microsoft.com/office/drawing/2010/main" spid="_x0000_s1097"/>
            </a:ext>
            <a:ext uri="{FF2B5EF4-FFF2-40B4-BE49-F238E27FC236}">
              <a16:creationId xmlns:a16="http://schemas.microsoft.com/office/drawing/2014/main" id="{00000000-0008-0000-0300-000068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19050</xdr:colOff>
      <xdr:row>345</xdr:row>
      <xdr:rowOff>9525</xdr:rowOff>
    </xdr:from>
    <xdr:to>
      <xdr:col>2</xdr:col>
      <xdr:colOff>0</xdr:colOff>
      <xdr:row>345</xdr:row>
      <xdr:rowOff>257175</xdr:rowOff>
    </xdr:to>
    <xdr:sp macro="" textlink="">
      <xdr:nvSpPr>
        <xdr:cNvPr id="105" name="Check Box 75" hidden="1">
          <a:extLst>
            <a:ext uri="{63B3BB69-23CF-44E3-9099-C40C66FF867C}">
              <a14:compatExt xmlns:a14="http://schemas.microsoft.com/office/drawing/2010/main" spid="_x0000_s1099"/>
            </a:ext>
            <a:ext uri="{FF2B5EF4-FFF2-40B4-BE49-F238E27FC236}">
              <a16:creationId xmlns:a16="http://schemas.microsoft.com/office/drawing/2014/main" id="{00000000-0008-0000-0300-000069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19050</xdr:colOff>
      <xdr:row>345</xdr:row>
      <xdr:rowOff>9525</xdr:rowOff>
    </xdr:from>
    <xdr:to>
      <xdr:col>2</xdr:col>
      <xdr:colOff>914400</xdr:colOff>
      <xdr:row>345</xdr:row>
      <xdr:rowOff>257175</xdr:rowOff>
    </xdr:to>
    <xdr:sp macro="" textlink="">
      <xdr:nvSpPr>
        <xdr:cNvPr id="106" name="Check Box 76" hidden="1">
          <a:extLst>
            <a:ext uri="{63B3BB69-23CF-44E3-9099-C40C66FF867C}">
              <a14:compatExt xmlns:a14="http://schemas.microsoft.com/office/drawing/2010/main" spid="_x0000_s1100"/>
            </a:ext>
            <a:ext uri="{FF2B5EF4-FFF2-40B4-BE49-F238E27FC236}">
              <a16:creationId xmlns:a16="http://schemas.microsoft.com/office/drawing/2014/main" id="{00000000-0008-0000-0300-00006A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19050</xdr:colOff>
      <xdr:row>345</xdr:row>
      <xdr:rowOff>9525</xdr:rowOff>
    </xdr:from>
    <xdr:to>
      <xdr:col>4</xdr:col>
      <xdr:colOff>0</xdr:colOff>
      <xdr:row>345</xdr:row>
      <xdr:rowOff>257175</xdr:rowOff>
    </xdr:to>
    <xdr:sp macro="" textlink="">
      <xdr:nvSpPr>
        <xdr:cNvPr id="107" name="Check Box 78" hidden="1">
          <a:extLst>
            <a:ext uri="{63B3BB69-23CF-44E3-9099-C40C66FF867C}">
              <a14:compatExt xmlns:a14="http://schemas.microsoft.com/office/drawing/2010/main" spid="_x0000_s1102"/>
            </a:ext>
            <a:ext uri="{FF2B5EF4-FFF2-40B4-BE49-F238E27FC236}">
              <a16:creationId xmlns:a16="http://schemas.microsoft.com/office/drawing/2014/main" id="{00000000-0008-0000-0300-00006B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19050</xdr:colOff>
      <xdr:row>346</xdr:row>
      <xdr:rowOff>9525</xdr:rowOff>
    </xdr:from>
    <xdr:to>
      <xdr:col>2</xdr:col>
      <xdr:colOff>0</xdr:colOff>
      <xdr:row>346</xdr:row>
      <xdr:rowOff>257175</xdr:rowOff>
    </xdr:to>
    <xdr:sp macro="" textlink="">
      <xdr:nvSpPr>
        <xdr:cNvPr id="108" name="Check Box 80" hidden="1">
          <a:extLst>
            <a:ext uri="{63B3BB69-23CF-44E3-9099-C40C66FF867C}">
              <a14:compatExt xmlns:a14="http://schemas.microsoft.com/office/drawing/2010/main" spid="_x0000_s1104"/>
            </a:ext>
            <a:ext uri="{FF2B5EF4-FFF2-40B4-BE49-F238E27FC236}">
              <a16:creationId xmlns:a16="http://schemas.microsoft.com/office/drawing/2014/main" id="{00000000-0008-0000-0300-00006C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19050</xdr:colOff>
      <xdr:row>346</xdr:row>
      <xdr:rowOff>9525</xdr:rowOff>
    </xdr:from>
    <xdr:to>
      <xdr:col>2</xdr:col>
      <xdr:colOff>914400</xdr:colOff>
      <xdr:row>346</xdr:row>
      <xdr:rowOff>257175</xdr:rowOff>
    </xdr:to>
    <xdr:sp macro="" textlink="">
      <xdr:nvSpPr>
        <xdr:cNvPr id="109" name="Check Box 82" hidden="1">
          <a:extLst>
            <a:ext uri="{63B3BB69-23CF-44E3-9099-C40C66FF867C}">
              <a14:compatExt xmlns:a14="http://schemas.microsoft.com/office/drawing/2010/main" spid="_x0000_s1106"/>
            </a:ext>
            <a:ext uri="{FF2B5EF4-FFF2-40B4-BE49-F238E27FC236}">
              <a16:creationId xmlns:a16="http://schemas.microsoft.com/office/drawing/2014/main" id="{00000000-0008-0000-0300-00006D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19050</xdr:colOff>
      <xdr:row>346</xdr:row>
      <xdr:rowOff>9525</xdr:rowOff>
    </xdr:from>
    <xdr:to>
      <xdr:col>4</xdr:col>
      <xdr:colOff>0</xdr:colOff>
      <xdr:row>346</xdr:row>
      <xdr:rowOff>257175</xdr:rowOff>
    </xdr:to>
    <xdr:sp macro="" textlink="">
      <xdr:nvSpPr>
        <xdr:cNvPr id="110" name="Check Box 84" hidden="1">
          <a:extLst>
            <a:ext uri="{63B3BB69-23CF-44E3-9099-C40C66FF867C}">
              <a14:compatExt xmlns:a14="http://schemas.microsoft.com/office/drawing/2010/main" spid="_x0000_s1108"/>
            </a:ext>
            <a:ext uri="{FF2B5EF4-FFF2-40B4-BE49-F238E27FC236}">
              <a16:creationId xmlns:a16="http://schemas.microsoft.com/office/drawing/2014/main" id="{00000000-0008-0000-0300-00006E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19050</xdr:colOff>
      <xdr:row>347</xdr:row>
      <xdr:rowOff>9525</xdr:rowOff>
    </xdr:from>
    <xdr:to>
      <xdr:col>2</xdr:col>
      <xdr:colOff>0</xdr:colOff>
      <xdr:row>347</xdr:row>
      <xdr:rowOff>257175</xdr:rowOff>
    </xdr:to>
    <xdr:sp macro="" textlink="">
      <xdr:nvSpPr>
        <xdr:cNvPr id="111" name="Check Box 85" hidden="1">
          <a:extLst>
            <a:ext uri="{63B3BB69-23CF-44E3-9099-C40C66FF867C}">
              <a14:compatExt xmlns:a14="http://schemas.microsoft.com/office/drawing/2010/main" spid="_x0000_s1109"/>
            </a:ext>
            <a:ext uri="{FF2B5EF4-FFF2-40B4-BE49-F238E27FC236}">
              <a16:creationId xmlns:a16="http://schemas.microsoft.com/office/drawing/2014/main" id="{00000000-0008-0000-0300-00006F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19050</xdr:colOff>
      <xdr:row>347</xdr:row>
      <xdr:rowOff>9525</xdr:rowOff>
    </xdr:from>
    <xdr:to>
      <xdr:col>2</xdr:col>
      <xdr:colOff>914400</xdr:colOff>
      <xdr:row>347</xdr:row>
      <xdr:rowOff>257175</xdr:rowOff>
    </xdr:to>
    <xdr:sp macro="" textlink="">
      <xdr:nvSpPr>
        <xdr:cNvPr id="112" name="Check Box 86" hidden="1">
          <a:extLst>
            <a:ext uri="{63B3BB69-23CF-44E3-9099-C40C66FF867C}">
              <a14:compatExt xmlns:a14="http://schemas.microsoft.com/office/drawing/2010/main" spid="_x0000_s1110"/>
            </a:ext>
            <a:ext uri="{FF2B5EF4-FFF2-40B4-BE49-F238E27FC236}">
              <a16:creationId xmlns:a16="http://schemas.microsoft.com/office/drawing/2014/main" id="{00000000-0008-0000-0300-000070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19050</xdr:colOff>
      <xdr:row>347</xdr:row>
      <xdr:rowOff>9525</xdr:rowOff>
    </xdr:from>
    <xdr:to>
      <xdr:col>4</xdr:col>
      <xdr:colOff>0</xdr:colOff>
      <xdr:row>347</xdr:row>
      <xdr:rowOff>257175</xdr:rowOff>
    </xdr:to>
    <xdr:sp macro="" textlink="">
      <xdr:nvSpPr>
        <xdr:cNvPr id="113" name="Check Box 88" hidden="1">
          <a:extLst>
            <a:ext uri="{63B3BB69-23CF-44E3-9099-C40C66FF867C}">
              <a14:compatExt xmlns:a14="http://schemas.microsoft.com/office/drawing/2010/main" spid="_x0000_s1112"/>
            </a:ext>
            <a:ext uri="{FF2B5EF4-FFF2-40B4-BE49-F238E27FC236}">
              <a16:creationId xmlns:a16="http://schemas.microsoft.com/office/drawing/2014/main" id="{00000000-0008-0000-0300-000071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19050</xdr:colOff>
      <xdr:row>348</xdr:row>
      <xdr:rowOff>9525</xdr:rowOff>
    </xdr:from>
    <xdr:to>
      <xdr:col>2</xdr:col>
      <xdr:colOff>0</xdr:colOff>
      <xdr:row>348</xdr:row>
      <xdr:rowOff>257175</xdr:rowOff>
    </xdr:to>
    <xdr:sp macro="" textlink="">
      <xdr:nvSpPr>
        <xdr:cNvPr id="114" name="Check Box 90" hidden="1">
          <a:extLst>
            <a:ext uri="{63B3BB69-23CF-44E3-9099-C40C66FF867C}">
              <a14:compatExt xmlns:a14="http://schemas.microsoft.com/office/drawing/2010/main" spid="_x0000_s1114"/>
            </a:ext>
            <a:ext uri="{FF2B5EF4-FFF2-40B4-BE49-F238E27FC236}">
              <a16:creationId xmlns:a16="http://schemas.microsoft.com/office/drawing/2014/main" id="{00000000-0008-0000-0300-000072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19050</xdr:colOff>
      <xdr:row>348</xdr:row>
      <xdr:rowOff>9525</xdr:rowOff>
    </xdr:from>
    <xdr:to>
      <xdr:col>2</xdr:col>
      <xdr:colOff>914400</xdr:colOff>
      <xdr:row>348</xdr:row>
      <xdr:rowOff>257175</xdr:rowOff>
    </xdr:to>
    <xdr:sp macro="" textlink="">
      <xdr:nvSpPr>
        <xdr:cNvPr id="115" name="Check Box 91" hidden="1">
          <a:extLst>
            <a:ext uri="{63B3BB69-23CF-44E3-9099-C40C66FF867C}">
              <a14:compatExt xmlns:a14="http://schemas.microsoft.com/office/drawing/2010/main" spid="_x0000_s1115"/>
            </a:ext>
            <a:ext uri="{FF2B5EF4-FFF2-40B4-BE49-F238E27FC236}">
              <a16:creationId xmlns:a16="http://schemas.microsoft.com/office/drawing/2014/main" id="{00000000-0008-0000-0300-000073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19050</xdr:colOff>
      <xdr:row>348</xdr:row>
      <xdr:rowOff>9525</xdr:rowOff>
    </xdr:from>
    <xdr:to>
      <xdr:col>4</xdr:col>
      <xdr:colOff>0</xdr:colOff>
      <xdr:row>348</xdr:row>
      <xdr:rowOff>257175</xdr:rowOff>
    </xdr:to>
    <xdr:sp macro="" textlink="">
      <xdr:nvSpPr>
        <xdr:cNvPr id="116" name="Check Box 92" hidden="1">
          <a:extLst>
            <a:ext uri="{63B3BB69-23CF-44E3-9099-C40C66FF867C}">
              <a14:compatExt xmlns:a14="http://schemas.microsoft.com/office/drawing/2010/main" spid="_x0000_s1116"/>
            </a:ext>
            <a:ext uri="{FF2B5EF4-FFF2-40B4-BE49-F238E27FC236}">
              <a16:creationId xmlns:a16="http://schemas.microsoft.com/office/drawing/2014/main" id="{00000000-0008-0000-0300-000074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19050</xdr:colOff>
      <xdr:row>349</xdr:row>
      <xdr:rowOff>9525</xdr:rowOff>
    </xdr:from>
    <xdr:to>
      <xdr:col>2</xdr:col>
      <xdr:colOff>0</xdr:colOff>
      <xdr:row>349</xdr:row>
      <xdr:rowOff>257175</xdr:rowOff>
    </xdr:to>
    <xdr:sp macro="" textlink="">
      <xdr:nvSpPr>
        <xdr:cNvPr id="117" name="Check Box 93" hidden="1">
          <a:extLst>
            <a:ext uri="{63B3BB69-23CF-44E3-9099-C40C66FF867C}">
              <a14:compatExt xmlns:a14="http://schemas.microsoft.com/office/drawing/2010/main" spid="_x0000_s1117"/>
            </a:ext>
            <a:ext uri="{FF2B5EF4-FFF2-40B4-BE49-F238E27FC236}">
              <a16:creationId xmlns:a16="http://schemas.microsoft.com/office/drawing/2014/main" id="{00000000-0008-0000-0300-000075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19050</xdr:colOff>
      <xdr:row>349</xdr:row>
      <xdr:rowOff>9525</xdr:rowOff>
    </xdr:from>
    <xdr:to>
      <xdr:col>2</xdr:col>
      <xdr:colOff>914400</xdr:colOff>
      <xdr:row>349</xdr:row>
      <xdr:rowOff>257175</xdr:rowOff>
    </xdr:to>
    <xdr:sp macro="" textlink="">
      <xdr:nvSpPr>
        <xdr:cNvPr id="118" name="Check Box 95" hidden="1">
          <a:extLst>
            <a:ext uri="{63B3BB69-23CF-44E3-9099-C40C66FF867C}">
              <a14:compatExt xmlns:a14="http://schemas.microsoft.com/office/drawing/2010/main" spid="_x0000_s1119"/>
            </a:ext>
            <a:ext uri="{FF2B5EF4-FFF2-40B4-BE49-F238E27FC236}">
              <a16:creationId xmlns:a16="http://schemas.microsoft.com/office/drawing/2014/main" id="{00000000-0008-0000-0300-000076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19050</xdr:colOff>
      <xdr:row>349</xdr:row>
      <xdr:rowOff>9525</xdr:rowOff>
    </xdr:from>
    <xdr:to>
      <xdr:col>4</xdr:col>
      <xdr:colOff>0</xdr:colOff>
      <xdr:row>349</xdr:row>
      <xdr:rowOff>257175</xdr:rowOff>
    </xdr:to>
    <xdr:sp macro="" textlink="">
      <xdr:nvSpPr>
        <xdr:cNvPr id="119" name="Check Box 97" hidden="1">
          <a:extLst>
            <a:ext uri="{63B3BB69-23CF-44E3-9099-C40C66FF867C}">
              <a14:compatExt xmlns:a14="http://schemas.microsoft.com/office/drawing/2010/main" spid="_x0000_s1121"/>
            </a:ext>
            <a:ext uri="{FF2B5EF4-FFF2-40B4-BE49-F238E27FC236}">
              <a16:creationId xmlns:a16="http://schemas.microsoft.com/office/drawing/2014/main" id="{00000000-0008-0000-0300-000077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28575</xdr:colOff>
      <xdr:row>49</xdr:row>
      <xdr:rowOff>9525</xdr:rowOff>
    </xdr:from>
    <xdr:to>
      <xdr:col>2</xdr:col>
      <xdr:colOff>9525</xdr:colOff>
      <xdr:row>49</xdr:row>
      <xdr:rowOff>257175</xdr:rowOff>
    </xdr:to>
    <xdr:sp macro="" textlink="">
      <xdr:nvSpPr>
        <xdr:cNvPr id="120" name="Check Box 98" hidden="1">
          <a:extLst>
            <a:ext uri="{63B3BB69-23CF-44E3-9099-C40C66FF867C}">
              <a14:compatExt xmlns:a14="http://schemas.microsoft.com/office/drawing/2010/main" spid="_x0000_s1122"/>
            </a:ext>
            <a:ext uri="{FF2B5EF4-FFF2-40B4-BE49-F238E27FC236}">
              <a16:creationId xmlns:a16="http://schemas.microsoft.com/office/drawing/2014/main" id="{00000000-0008-0000-0300-000078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28575</xdr:colOff>
      <xdr:row>49</xdr:row>
      <xdr:rowOff>9525</xdr:rowOff>
    </xdr:from>
    <xdr:to>
      <xdr:col>2</xdr:col>
      <xdr:colOff>923925</xdr:colOff>
      <xdr:row>49</xdr:row>
      <xdr:rowOff>257175</xdr:rowOff>
    </xdr:to>
    <xdr:sp macro="" textlink="">
      <xdr:nvSpPr>
        <xdr:cNvPr id="121" name="Check Box 99" hidden="1">
          <a:extLst>
            <a:ext uri="{63B3BB69-23CF-44E3-9099-C40C66FF867C}">
              <a14:compatExt xmlns:a14="http://schemas.microsoft.com/office/drawing/2010/main" spid="_x0000_s1123"/>
            </a:ext>
            <a:ext uri="{FF2B5EF4-FFF2-40B4-BE49-F238E27FC236}">
              <a16:creationId xmlns:a16="http://schemas.microsoft.com/office/drawing/2014/main" id="{00000000-0008-0000-0300-000079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28575</xdr:colOff>
      <xdr:row>49</xdr:row>
      <xdr:rowOff>9525</xdr:rowOff>
    </xdr:from>
    <xdr:to>
      <xdr:col>4</xdr:col>
      <xdr:colOff>9525</xdr:colOff>
      <xdr:row>49</xdr:row>
      <xdr:rowOff>257175</xdr:rowOff>
    </xdr:to>
    <xdr:sp macro="" textlink="">
      <xdr:nvSpPr>
        <xdr:cNvPr id="122" name="Check Box 101" hidden="1">
          <a:extLst>
            <a:ext uri="{63B3BB69-23CF-44E3-9099-C40C66FF867C}">
              <a14:compatExt xmlns:a14="http://schemas.microsoft.com/office/drawing/2010/main" spid="_x0000_s1125"/>
            </a:ext>
            <a:ext uri="{FF2B5EF4-FFF2-40B4-BE49-F238E27FC236}">
              <a16:creationId xmlns:a16="http://schemas.microsoft.com/office/drawing/2014/main" id="{00000000-0008-0000-0300-00007A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2</xdr:row>
      <xdr:rowOff>38100</xdr:rowOff>
    </xdr:from>
    <xdr:to>
      <xdr:col>5</xdr:col>
      <xdr:colOff>0</xdr:colOff>
      <xdr:row>2</xdr:row>
      <xdr:rowOff>266700</xdr:rowOff>
    </xdr:to>
    <xdr:sp macro="" textlink="">
      <xdr:nvSpPr>
        <xdr:cNvPr id="123" name="Check Box 226" descr="Beslutad av &#10;Länsstyrelsen" hidden="1">
          <a:extLst>
            <a:ext uri="{63B3BB69-23CF-44E3-9099-C40C66FF867C}">
              <a14:compatExt xmlns:a14="http://schemas.microsoft.com/office/drawing/2010/main" spid="_x0000_s1250"/>
            </a:ext>
            <a:ext uri="{FF2B5EF4-FFF2-40B4-BE49-F238E27FC236}">
              <a16:creationId xmlns:a16="http://schemas.microsoft.com/office/drawing/2014/main" id="{00000000-0008-0000-0300-00007B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v-SE" sz="800" b="0" i="0" u="none" strike="noStrike" baseline="0">
              <a:solidFill>
                <a:srgbClr val="000000"/>
              </a:solidFill>
              <a:latin typeface="Tahoma"/>
              <a:ea typeface="Tahoma"/>
              <a:cs typeface="Tahoma"/>
            </a:rPr>
            <a:t>Älgskötselplan (nytt älgskötselområde/ny period)</a:t>
          </a:r>
        </a:p>
      </xdr:txBody>
    </xdr:sp>
    <xdr:clientData/>
  </xdr:twoCellAnchor>
  <xdr:twoCellAnchor editAs="oneCell">
    <xdr:from>
      <xdr:col>2</xdr:col>
      <xdr:colOff>0</xdr:colOff>
      <xdr:row>2</xdr:row>
      <xdr:rowOff>276225</xdr:rowOff>
    </xdr:from>
    <xdr:to>
      <xdr:col>5</xdr:col>
      <xdr:colOff>0</xdr:colOff>
      <xdr:row>2</xdr:row>
      <xdr:rowOff>523875</xdr:rowOff>
    </xdr:to>
    <xdr:sp macro="" textlink="">
      <xdr:nvSpPr>
        <xdr:cNvPr id="124" name="Check Box 227" descr="Beslutad av &#10;Länsstyrelsen" hidden="1">
          <a:extLst>
            <a:ext uri="{63B3BB69-23CF-44E3-9099-C40C66FF867C}">
              <a14:compatExt xmlns:a14="http://schemas.microsoft.com/office/drawing/2010/main" spid="_x0000_s1251"/>
            </a:ext>
            <a:ext uri="{FF2B5EF4-FFF2-40B4-BE49-F238E27FC236}">
              <a16:creationId xmlns:a16="http://schemas.microsoft.com/office/drawing/2014/main" id="{00000000-0008-0000-0300-00007C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v-SE" sz="800" b="0" i="0" u="none" strike="noStrike" baseline="0">
              <a:solidFill>
                <a:srgbClr val="000000"/>
              </a:solidFill>
              <a:latin typeface="Tahoma"/>
              <a:ea typeface="Tahoma"/>
              <a:cs typeface="Tahoma"/>
            </a:rPr>
            <a:t>Reviderad älgskötselplan (inom pågående period)</a:t>
          </a:r>
        </a:p>
      </xdr:txBody>
    </xdr:sp>
    <xdr:clientData/>
  </xdr:twoCellAnchor>
  <xdr:twoCellAnchor editAs="oneCell">
    <xdr:from>
      <xdr:col>2</xdr:col>
      <xdr:colOff>0</xdr:colOff>
      <xdr:row>2</xdr:row>
      <xdr:rowOff>552450</xdr:rowOff>
    </xdr:from>
    <xdr:to>
      <xdr:col>5</xdr:col>
      <xdr:colOff>0</xdr:colOff>
      <xdr:row>2</xdr:row>
      <xdr:rowOff>809625</xdr:rowOff>
    </xdr:to>
    <xdr:sp macro="" textlink="">
      <xdr:nvSpPr>
        <xdr:cNvPr id="125" name="Check Box 228" descr="Beslutad av &#10;Länsstyrelsen" hidden="1">
          <a:extLst>
            <a:ext uri="{63B3BB69-23CF-44E3-9099-C40C66FF867C}">
              <a14:compatExt xmlns:a14="http://schemas.microsoft.com/office/drawing/2010/main" spid="_x0000_s1252"/>
            </a:ext>
            <a:ext uri="{FF2B5EF4-FFF2-40B4-BE49-F238E27FC236}">
              <a16:creationId xmlns:a16="http://schemas.microsoft.com/office/drawing/2014/main" id="{00000000-0008-0000-0300-00007D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v-SE" sz="800" b="0" i="0" u="none" strike="noStrike" baseline="0">
              <a:solidFill>
                <a:srgbClr val="000000"/>
              </a:solidFill>
              <a:latin typeface="Tahoma"/>
              <a:ea typeface="Tahoma"/>
              <a:cs typeface="Tahoma"/>
            </a:rPr>
            <a:t>Reviderad avskjutningsplan (inom pågående period)</a:t>
          </a:r>
        </a:p>
      </xdr:txBody>
    </xdr:sp>
    <xdr:clientData/>
  </xdr:twoCellAnchor>
  <xdr:twoCellAnchor editAs="oneCell">
    <xdr:from>
      <xdr:col>2</xdr:col>
      <xdr:colOff>0</xdr:colOff>
      <xdr:row>3</xdr:row>
      <xdr:rowOff>38100</xdr:rowOff>
    </xdr:from>
    <xdr:to>
      <xdr:col>5</xdr:col>
      <xdr:colOff>0</xdr:colOff>
      <xdr:row>4</xdr:row>
      <xdr:rowOff>0</xdr:rowOff>
    </xdr:to>
    <xdr:sp macro="" textlink="">
      <xdr:nvSpPr>
        <xdr:cNvPr id="126" name="Check Box 235" descr="Beslutad av &#10;Länsstyrelsen" hidden="1">
          <a:extLst>
            <a:ext uri="{63B3BB69-23CF-44E3-9099-C40C66FF867C}">
              <a14:compatExt xmlns:a14="http://schemas.microsoft.com/office/drawing/2010/main" spid="_x0000_s1259"/>
            </a:ext>
            <a:ext uri="{FF2B5EF4-FFF2-40B4-BE49-F238E27FC236}">
              <a16:creationId xmlns:a16="http://schemas.microsoft.com/office/drawing/2014/main" id="{00000000-0008-0000-0300-00007E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v-SE" sz="800" b="0" i="0" u="none" strike="noStrike" baseline="0">
              <a:solidFill>
                <a:srgbClr val="000000"/>
              </a:solidFill>
              <a:latin typeface="Tahoma"/>
              <a:ea typeface="Tahoma"/>
              <a:cs typeface="Tahoma"/>
            </a:rPr>
            <a:t>Nytt ärende (planen har inte lämnats tidigare)</a:t>
          </a:r>
        </a:p>
      </xdr:txBody>
    </xdr:sp>
    <xdr:clientData/>
  </xdr:twoCellAnchor>
  <xdr:twoCellAnchor editAs="oneCell">
    <xdr:from>
      <xdr:col>2</xdr:col>
      <xdr:colOff>9525</xdr:colOff>
      <xdr:row>4</xdr:row>
      <xdr:rowOff>0</xdr:rowOff>
    </xdr:from>
    <xdr:to>
      <xdr:col>3</xdr:col>
      <xdr:colOff>657225</xdr:colOff>
      <xdr:row>5</xdr:row>
      <xdr:rowOff>19050</xdr:rowOff>
    </xdr:to>
    <xdr:sp macro="" textlink="">
      <xdr:nvSpPr>
        <xdr:cNvPr id="127" name="Check Box 236" descr="Beslutad av &#10;Länsstyrelsen" hidden="1">
          <a:extLst>
            <a:ext uri="{63B3BB69-23CF-44E3-9099-C40C66FF867C}">
              <a14:compatExt xmlns:a14="http://schemas.microsoft.com/office/drawing/2010/main" spid="_x0000_s1260"/>
            </a:ext>
            <a:ext uri="{FF2B5EF4-FFF2-40B4-BE49-F238E27FC236}">
              <a16:creationId xmlns:a16="http://schemas.microsoft.com/office/drawing/2014/main" id="{00000000-0008-0000-0300-00007F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v-SE" sz="800" b="0" i="0" u="none" strike="noStrike" baseline="0">
              <a:solidFill>
                <a:srgbClr val="000000"/>
              </a:solidFill>
              <a:latin typeface="Tahoma"/>
              <a:ea typeface="Tahoma"/>
              <a:cs typeface="Tahoma"/>
            </a:rPr>
            <a:t>Till befintligt ärende. Diarie nr: </a:t>
          </a:r>
        </a:p>
      </xdr:txBody>
    </xdr:sp>
    <xdr:clientData/>
  </xdr:twoCellAnchor>
  <xdr:twoCellAnchor editAs="oneCell">
    <xdr:from>
      <xdr:col>3</xdr:col>
      <xdr:colOff>19050</xdr:colOff>
      <xdr:row>11</xdr:row>
      <xdr:rowOff>9525</xdr:rowOff>
    </xdr:from>
    <xdr:to>
      <xdr:col>5</xdr:col>
      <xdr:colOff>19050</xdr:colOff>
      <xdr:row>11</xdr:row>
      <xdr:rowOff>247650</xdr:rowOff>
    </xdr:to>
    <xdr:sp macro="" textlink="">
      <xdr:nvSpPr>
        <xdr:cNvPr id="128" name="Check Box 250" descr="Beslutad av &#10;Länsstyrelsen" hidden="1">
          <a:extLst>
            <a:ext uri="{63B3BB69-23CF-44E3-9099-C40C66FF867C}">
              <a14:compatExt xmlns:a14="http://schemas.microsoft.com/office/drawing/2010/main" spid="_x0000_s1274"/>
            </a:ext>
            <a:ext uri="{FF2B5EF4-FFF2-40B4-BE49-F238E27FC236}">
              <a16:creationId xmlns:a16="http://schemas.microsoft.com/office/drawing/2014/main" id="{00000000-0008-0000-0300-000080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v-SE" sz="800" b="0" i="0" u="none" strike="noStrike" baseline="0">
              <a:solidFill>
                <a:srgbClr val="000000"/>
              </a:solidFill>
              <a:latin typeface="Tahoma"/>
              <a:ea typeface="Tahoma"/>
              <a:cs typeface="Tahoma"/>
            </a:rPr>
            <a:t>Beslutad av Länsstyrelsen</a:t>
          </a:r>
        </a:p>
      </xdr:txBody>
    </xdr:sp>
    <xdr:clientData/>
  </xdr:twoCellAnchor>
  <xdr:twoCellAnchor editAs="oneCell">
    <xdr:from>
      <xdr:col>3</xdr:col>
      <xdr:colOff>19050</xdr:colOff>
      <xdr:row>11</xdr:row>
      <xdr:rowOff>295275</xdr:rowOff>
    </xdr:from>
    <xdr:to>
      <xdr:col>5</xdr:col>
      <xdr:colOff>19050</xdr:colOff>
      <xdr:row>11</xdr:row>
      <xdr:rowOff>533400</xdr:rowOff>
    </xdr:to>
    <xdr:sp macro="" textlink="">
      <xdr:nvSpPr>
        <xdr:cNvPr id="129" name="Check Box 251" hidden="1">
          <a:extLst>
            <a:ext uri="{63B3BB69-23CF-44E3-9099-C40C66FF867C}">
              <a14:compatExt xmlns:a14="http://schemas.microsoft.com/office/drawing/2010/main" spid="_x0000_s1275"/>
            </a:ext>
            <a:ext uri="{FF2B5EF4-FFF2-40B4-BE49-F238E27FC236}">
              <a16:creationId xmlns:a16="http://schemas.microsoft.com/office/drawing/2014/main" id="{00000000-0008-0000-0300-000081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v-SE" sz="800" b="0" i="0" u="none" strike="noStrike" baseline="0">
              <a:solidFill>
                <a:srgbClr val="000000"/>
              </a:solidFill>
              <a:latin typeface="Tahoma"/>
              <a:ea typeface="Tahoma"/>
              <a:cs typeface="Tahoma"/>
            </a:rPr>
            <a:t>Ansökt areal (nytt/ändrat område)</a:t>
          </a:r>
        </a:p>
      </xdr:txBody>
    </xdr:sp>
    <xdr:clientData/>
  </xdr:twoCellAnchor>
  <xdr:twoCellAnchor editAs="oneCell">
    <xdr:from>
      <xdr:col>5</xdr:col>
      <xdr:colOff>38100</xdr:colOff>
      <xdr:row>329</xdr:row>
      <xdr:rowOff>66675</xdr:rowOff>
    </xdr:from>
    <xdr:to>
      <xdr:col>7</xdr:col>
      <xdr:colOff>609600</xdr:colOff>
      <xdr:row>330</xdr:row>
      <xdr:rowOff>19050</xdr:rowOff>
    </xdr:to>
    <xdr:sp macro="" textlink="">
      <xdr:nvSpPr>
        <xdr:cNvPr id="130" name="Check Box 263" hidden="1">
          <a:extLst>
            <a:ext uri="{63B3BB69-23CF-44E3-9099-C40C66FF867C}">
              <a14:compatExt xmlns:a14="http://schemas.microsoft.com/office/drawing/2010/main" spid="_x0000_s1287"/>
            </a:ext>
            <a:ext uri="{FF2B5EF4-FFF2-40B4-BE49-F238E27FC236}">
              <a16:creationId xmlns:a16="http://schemas.microsoft.com/office/drawing/2014/main" id="{00000000-0008-0000-0300-000082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v-SE" sz="800" b="0" i="0" u="none" strike="noStrike" baseline="0">
              <a:solidFill>
                <a:srgbClr val="000000"/>
              </a:solidFill>
              <a:latin typeface="Tahoma"/>
              <a:ea typeface="Tahoma"/>
              <a:cs typeface="Tahoma"/>
            </a:rPr>
            <a:t>Annan beräkning/förslag (bifogas)</a:t>
          </a:r>
        </a:p>
      </xdr:txBody>
    </xdr:sp>
    <xdr:clientData fLocksWithSheet="0"/>
  </xdr:twoCellAnchor>
  <xdr:twoCellAnchor editAs="oneCell">
    <xdr:from>
      <xdr:col>4</xdr:col>
      <xdr:colOff>9525</xdr:colOff>
      <xdr:row>309</xdr:row>
      <xdr:rowOff>0</xdr:rowOff>
    </xdr:from>
    <xdr:to>
      <xdr:col>4</xdr:col>
      <xdr:colOff>904875</xdr:colOff>
      <xdr:row>310</xdr:row>
      <xdr:rowOff>0</xdr:rowOff>
    </xdr:to>
    <xdr:sp macro="" textlink="">
      <xdr:nvSpPr>
        <xdr:cNvPr id="131" name="Nedrullningsbar listruta 277" hidden="1">
          <a:extLst>
            <a:ext uri="{63B3BB69-23CF-44E3-9099-C40C66FF867C}">
              <a14:compatExt xmlns:a14="http://schemas.microsoft.com/office/drawing/2010/main" spid="_x0000_s1301"/>
            </a:ext>
            <a:ext uri="{FF2B5EF4-FFF2-40B4-BE49-F238E27FC236}">
              <a16:creationId xmlns:a16="http://schemas.microsoft.com/office/drawing/2014/main" id="{00000000-0008-0000-0300-0000830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4</xdr:col>
      <xdr:colOff>9525</xdr:colOff>
      <xdr:row>310</xdr:row>
      <xdr:rowOff>0</xdr:rowOff>
    </xdr:from>
    <xdr:to>
      <xdr:col>4</xdr:col>
      <xdr:colOff>904875</xdr:colOff>
      <xdr:row>311</xdr:row>
      <xdr:rowOff>0</xdr:rowOff>
    </xdr:to>
    <xdr:sp macro="" textlink="">
      <xdr:nvSpPr>
        <xdr:cNvPr id="132" name="Nedrullningsbar listruta 278" hidden="1">
          <a:extLst>
            <a:ext uri="{63B3BB69-23CF-44E3-9099-C40C66FF867C}">
              <a14:compatExt xmlns:a14="http://schemas.microsoft.com/office/drawing/2010/main" spid="_x0000_s1302"/>
            </a:ext>
            <a:ext uri="{FF2B5EF4-FFF2-40B4-BE49-F238E27FC236}">
              <a16:creationId xmlns:a16="http://schemas.microsoft.com/office/drawing/2014/main" id="{00000000-0008-0000-0300-0000840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4</xdr:col>
      <xdr:colOff>9525</xdr:colOff>
      <xdr:row>311</xdr:row>
      <xdr:rowOff>0</xdr:rowOff>
    </xdr:from>
    <xdr:to>
      <xdr:col>4</xdr:col>
      <xdr:colOff>904875</xdr:colOff>
      <xdr:row>312</xdr:row>
      <xdr:rowOff>0</xdr:rowOff>
    </xdr:to>
    <xdr:sp macro="" textlink="">
      <xdr:nvSpPr>
        <xdr:cNvPr id="133" name="Nedrullningsbar listruta 279" hidden="1">
          <a:extLst>
            <a:ext uri="{63B3BB69-23CF-44E3-9099-C40C66FF867C}">
              <a14:compatExt xmlns:a14="http://schemas.microsoft.com/office/drawing/2010/main" spid="_x0000_s1303"/>
            </a:ext>
            <a:ext uri="{FF2B5EF4-FFF2-40B4-BE49-F238E27FC236}">
              <a16:creationId xmlns:a16="http://schemas.microsoft.com/office/drawing/2014/main" id="{00000000-0008-0000-0300-0000850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4</xdr:col>
      <xdr:colOff>9525</xdr:colOff>
      <xdr:row>312</xdr:row>
      <xdr:rowOff>0</xdr:rowOff>
    </xdr:from>
    <xdr:to>
      <xdr:col>4</xdr:col>
      <xdr:colOff>904875</xdr:colOff>
      <xdr:row>313</xdr:row>
      <xdr:rowOff>0</xdr:rowOff>
    </xdr:to>
    <xdr:sp macro="" textlink="">
      <xdr:nvSpPr>
        <xdr:cNvPr id="134" name="Nedrullningsbar listruta 280" hidden="1">
          <a:extLst>
            <a:ext uri="{63B3BB69-23CF-44E3-9099-C40C66FF867C}">
              <a14:compatExt xmlns:a14="http://schemas.microsoft.com/office/drawing/2010/main" spid="_x0000_s1304"/>
            </a:ext>
            <a:ext uri="{FF2B5EF4-FFF2-40B4-BE49-F238E27FC236}">
              <a16:creationId xmlns:a16="http://schemas.microsoft.com/office/drawing/2014/main" id="{00000000-0008-0000-0300-0000860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4</xdr:col>
      <xdr:colOff>9525</xdr:colOff>
      <xdr:row>313</xdr:row>
      <xdr:rowOff>0</xdr:rowOff>
    </xdr:from>
    <xdr:to>
      <xdr:col>4</xdr:col>
      <xdr:colOff>904875</xdr:colOff>
      <xdr:row>314</xdr:row>
      <xdr:rowOff>0</xdr:rowOff>
    </xdr:to>
    <xdr:sp macro="" textlink="">
      <xdr:nvSpPr>
        <xdr:cNvPr id="135" name="Nedrullningsbar listruta 281" hidden="1">
          <a:extLst>
            <a:ext uri="{63B3BB69-23CF-44E3-9099-C40C66FF867C}">
              <a14:compatExt xmlns:a14="http://schemas.microsoft.com/office/drawing/2010/main" spid="_x0000_s1305"/>
            </a:ext>
            <a:ext uri="{FF2B5EF4-FFF2-40B4-BE49-F238E27FC236}">
              <a16:creationId xmlns:a16="http://schemas.microsoft.com/office/drawing/2014/main" id="{00000000-0008-0000-0300-0000870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4</xdr:col>
      <xdr:colOff>9525</xdr:colOff>
      <xdr:row>314</xdr:row>
      <xdr:rowOff>0</xdr:rowOff>
    </xdr:from>
    <xdr:to>
      <xdr:col>4</xdr:col>
      <xdr:colOff>904875</xdr:colOff>
      <xdr:row>315</xdr:row>
      <xdr:rowOff>0</xdr:rowOff>
    </xdr:to>
    <xdr:sp macro="" textlink="">
      <xdr:nvSpPr>
        <xdr:cNvPr id="136" name="Nedrullningsbar listruta 282" hidden="1">
          <a:extLst>
            <a:ext uri="{63B3BB69-23CF-44E3-9099-C40C66FF867C}">
              <a14:compatExt xmlns:a14="http://schemas.microsoft.com/office/drawing/2010/main" spid="_x0000_s1306"/>
            </a:ext>
            <a:ext uri="{FF2B5EF4-FFF2-40B4-BE49-F238E27FC236}">
              <a16:creationId xmlns:a16="http://schemas.microsoft.com/office/drawing/2014/main" id="{00000000-0008-0000-0300-0000880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4</xdr:col>
      <xdr:colOff>9525</xdr:colOff>
      <xdr:row>315</xdr:row>
      <xdr:rowOff>0</xdr:rowOff>
    </xdr:from>
    <xdr:to>
      <xdr:col>4</xdr:col>
      <xdr:colOff>904875</xdr:colOff>
      <xdr:row>316</xdr:row>
      <xdr:rowOff>0</xdr:rowOff>
    </xdr:to>
    <xdr:sp macro="" textlink="">
      <xdr:nvSpPr>
        <xdr:cNvPr id="137" name="Nedrullningsbar listruta 283" hidden="1">
          <a:extLst>
            <a:ext uri="{63B3BB69-23CF-44E3-9099-C40C66FF867C}">
              <a14:compatExt xmlns:a14="http://schemas.microsoft.com/office/drawing/2010/main" spid="_x0000_s1307"/>
            </a:ext>
            <a:ext uri="{FF2B5EF4-FFF2-40B4-BE49-F238E27FC236}">
              <a16:creationId xmlns:a16="http://schemas.microsoft.com/office/drawing/2014/main" id="{00000000-0008-0000-0300-0000890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4</xdr:col>
      <xdr:colOff>9525</xdr:colOff>
      <xdr:row>316</xdr:row>
      <xdr:rowOff>0</xdr:rowOff>
    </xdr:from>
    <xdr:to>
      <xdr:col>4</xdr:col>
      <xdr:colOff>904875</xdr:colOff>
      <xdr:row>317</xdr:row>
      <xdr:rowOff>0</xdr:rowOff>
    </xdr:to>
    <xdr:sp macro="" textlink="">
      <xdr:nvSpPr>
        <xdr:cNvPr id="138" name="Nedrullningsbar listruta 284" hidden="1">
          <a:extLst>
            <a:ext uri="{63B3BB69-23CF-44E3-9099-C40C66FF867C}">
              <a14:compatExt xmlns:a14="http://schemas.microsoft.com/office/drawing/2010/main" spid="_x0000_s1308"/>
            </a:ext>
            <a:ext uri="{FF2B5EF4-FFF2-40B4-BE49-F238E27FC236}">
              <a16:creationId xmlns:a16="http://schemas.microsoft.com/office/drawing/2014/main" id="{00000000-0008-0000-0300-00008A0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4</xdr:col>
      <xdr:colOff>9525</xdr:colOff>
      <xdr:row>317</xdr:row>
      <xdr:rowOff>0</xdr:rowOff>
    </xdr:from>
    <xdr:to>
      <xdr:col>4</xdr:col>
      <xdr:colOff>904875</xdr:colOff>
      <xdr:row>318</xdr:row>
      <xdr:rowOff>0</xdr:rowOff>
    </xdr:to>
    <xdr:sp macro="" textlink="">
      <xdr:nvSpPr>
        <xdr:cNvPr id="139" name="Nedrullningsbar listruta 285" hidden="1">
          <a:extLst>
            <a:ext uri="{63B3BB69-23CF-44E3-9099-C40C66FF867C}">
              <a14:compatExt xmlns:a14="http://schemas.microsoft.com/office/drawing/2010/main" spid="_x0000_s1309"/>
            </a:ext>
            <a:ext uri="{FF2B5EF4-FFF2-40B4-BE49-F238E27FC236}">
              <a16:creationId xmlns:a16="http://schemas.microsoft.com/office/drawing/2014/main" id="{00000000-0008-0000-0300-00008B0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4</xdr:col>
      <xdr:colOff>9525</xdr:colOff>
      <xdr:row>318</xdr:row>
      <xdr:rowOff>0</xdr:rowOff>
    </xdr:from>
    <xdr:to>
      <xdr:col>4</xdr:col>
      <xdr:colOff>904875</xdr:colOff>
      <xdr:row>319</xdr:row>
      <xdr:rowOff>0</xdr:rowOff>
    </xdr:to>
    <xdr:sp macro="" textlink="">
      <xdr:nvSpPr>
        <xdr:cNvPr id="140" name="Nedrullningsbar listruta 286" hidden="1">
          <a:extLst>
            <a:ext uri="{63B3BB69-23CF-44E3-9099-C40C66FF867C}">
              <a14:compatExt xmlns:a14="http://schemas.microsoft.com/office/drawing/2010/main" spid="_x0000_s1310"/>
            </a:ext>
            <a:ext uri="{FF2B5EF4-FFF2-40B4-BE49-F238E27FC236}">
              <a16:creationId xmlns:a16="http://schemas.microsoft.com/office/drawing/2014/main" id="{00000000-0008-0000-0300-00008C0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4</xdr:col>
      <xdr:colOff>9525</xdr:colOff>
      <xdr:row>319</xdr:row>
      <xdr:rowOff>0</xdr:rowOff>
    </xdr:from>
    <xdr:to>
      <xdr:col>4</xdr:col>
      <xdr:colOff>904875</xdr:colOff>
      <xdr:row>320</xdr:row>
      <xdr:rowOff>0</xdr:rowOff>
    </xdr:to>
    <xdr:sp macro="" textlink="">
      <xdr:nvSpPr>
        <xdr:cNvPr id="141" name="Nedrullningsbar listruta 287" hidden="1">
          <a:extLst>
            <a:ext uri="{63B3BB69-23CF-44E3-9099-C40C66FF867C}">
              <a14:compatExt xmlns:a14="http://schemas.microsoft.com/office/drawing/2010/main" spid="_x0000_s1311"/>
            </a:ext>
            <a:ext uri="{FF2B5EF4-FFF2-40B4-BE49-F238E27FC236}">
              <a16:creationId xmlns:a16="http://schemas.microsoft.com/office/drawing/2014/main" id="{00000000-0008-0000-0300-00008D0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4</xdr:col>
      <xdr:colOff>9525</xdr:colOff>
      <xdr:row>320</xdr:row>
      <xdr:rowOff>0</xdr:rowOff>
    </xdr:from>
    <xdr:to>
      <xdr:col>4</xdr:col>
      <xdr:colOff>904875</xdr:colOff>
      <xdr:row>321</xdr:row>
      <xdr:rowOff>0</xdr:rowOff>
    </xdr:to>
    <xdr:sp macro="" textlink="">
      <xdr:nvSpPr>
        <xdr:cNvPr id="142" name="Nedrullningsbar listruta 288" hidden="1">
          <a:extLst>
            <a:ext uri="{63B3BB69-23CF-44E3-9099-C40C66FF867C}">
              <a14:compatExt xmlns:a14="http://schemas.microsoft.com/office/drawing/2010/main" spid="_x0000_s1312"/>
            </a:ext>
            <a:ext uri="{FF2B5EF4-FFF2-40B4-BE49-F238E27FC236}">
              <a16:creationId xmlns:a16="http://schemas.microsoft.com/office/drawing/2014/main" id="{00000000-0008-0000-0300-00008E0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oneCellAnchor>
    <xdr:from>
      <xdr:col>0</xdr:col>
      <xdr:colOff>990600</xdr:colOff>
      <xdr:row>37</xdr:row>
      <xdr:rowOff>219075</xdr:rowOff>
    </xdr:from>
    <xdr:ext cx="7115175" cy="3762375"/>
    <xdr:pic>
      <xdr:nvPicPr>
        <xdr:cNvPr id="143" name="Bildobjekt 7">
          <a:extLst>
            <a:ext uri="{FF2B5EF4-FFF2-40B4-BE49-F238E27FC236}">
              <a16:creationId xmlns:a16="http://schemas.microsoft.com/office/drawing/2014/main" id="{00000000-0008-0000-0300-00008F000000}"/>
            </a:ext>
          </a:extLst>
        </xdr:cNvPr>
        <xdr:cNvPicPr>
          <a:picLocks noChangeAspect="1"/>
        </xdr:cNvPicPr>
      </xdr:nvPicPr>
      <xdr:blipFill>
        <a:blip xmlns:r="http://schemas.openxmlformats.org/officeDocument/2006/relationships" r:embed="rId1" cstate="print"/>
        <a:stretch>
          <a:fillRect/>
        </a:stretch>
      </xdr:blipFill>
      <xdr:spPr>
        <a:xfrm>
          <a:off x="0" y="0"/>
          <a:ext cx="7115175" cy="3762375"/>
        </a:xfrm>
        <a:prstGeom prst="rect">
          <a:avLst/>
        </a:prstGeom>
      </xdr:spPr>
    </xdr:pic>
    <xdr:clientData/>
  </xdr:oneCellAnchor>
  <mc:AlternateContent xmlns:mc="http://schemas.openxmlformats.org/markup-compatibility/2006">
    <mc:Choice xmlns:a14="http://schemas.microsoft.com/office/drawing/2010/main" Requires="a14">
      <xdr:twoCellAnchor editAs="oneCell">
        <xdr:from>
          <xdr:col>5</xdr:col>
          <xdr:colOff>19050</xdr:colOff>
          <xdr:row>328</xdr:row>
          <xdr:rowOff>0</xdr:rowOff>
        </xdr:from>
        <xdr:to>
          <xdr:col>7</xdr:col>
          <xdr:colOff>57150</xdr:colOff>
          <xdr:row>329</xdr:row>
          <xdr:rowOff>0</xdr:rowOff>
        </xdr:to>
        <xdr:sp macro="" textlink="">
          <xdr:nvSpPr>
            <xdr:cNvPr id="1029" name="Check Box 5" descr="Beslutad av &#10;Länsstyrelsen" hidden="1">
              <a:extLst>
                <a:ext uri="{63B3BB69-23CF-44E3-9099-C40C66FF867C}">
                  <a14:compatExt spid="_x0000_s1029"/>
                </a:ext>
                <a:ext uri="{FF2B5EF4-FFF2-40B4-BE49-F238E27FC236}">
                  <a16:creationId xmlns:a16="http://schemas.microsoft.com/office/drawing/2014/main" id="{00000000-0008-0000-03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v-SE" sz="800" b="0" i="0" u="none" strike="noStrike" baseline="0">
                  <a:solidFill>
                    <a:srgbClr val="000000"/>
                  </a:solidFill>
                  <a:latin typeface="Tahoma"/>
                  <a:ea typeface="Tahoma"/>
                  <a:cs typeface="Tahoma"/>
                </a:rPr>
                <a:t>Beräkningsmodell Älgfrode (bifogas)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194</xdr:row>
          <xdr:rowOff>9525</xdr:rowOff>
        </xdr:from>
        <xdr:to>
          <xdr:col>2</xdr:col>
          <xdr:colOff>19050</xdr:colOff>
          <xdr:row>194</xdr:row>
          <xdr:rowOff>257175</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3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194</xdr:row>
          <xdr:rowOff>9525</xdr:rowOff>
        </xdr:from>
        <xdr:to>
          <xdr:col>2</xdr:col>
          <xdr:colOff>923925</xdr:colOff>
          <xdr:row>194</xdr:row>
          <xdr:rowOff>257175</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3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194</xdr:row>
          <xdr:rowOff>9525</xdr:rowOff>
        </xdr:from>
        <xdr:to>
          <xdr:col>4</xdr:col>
          <xdr:colOff>19050</xdr:colOff>
          <xdr:row>194</xdr:row>
          <xdr:rowOff>257175</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3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195</xdr:row>
          <xdr:rowOff>9525</xdr:rowOff>
        </xdr:from>
        <xdr:to>
          <xdr:col>2</xdr:col>
          <xdr:colOff>19050</xdr:colOff>
          <xdr:row>195</xdr:row>
          <xdr:rowOff>257175</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3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195</xdr:row>
          <xdr:rowOff>9525</xdr:rowOff>
        </xdr:from>
        <xdr:to>
          <xdr:col>2</xdr:col>
          <xdr:colOff>923925</xdr:colOff>
          <xdr:row>195</xdr:row>
          <xdr:rowOff>257175</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3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195</xdr:row>
          <xdr:rowOff>9525</xdr:rowOff>
        </xdr:from>
        <xdr:to>
          <xdr:col>4</xdr:col>
          <xdr:colOff>19050</xdr:colOff>
          <xdr:row>195</xdr:row>
          <xdr:rowOff>257175</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3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196</xdr:row>
          <xdr:rowOff>9525</xdr:rowOff>
        </xdr:from>
        <xdr:to>
          <xdr:col>2</xdr:col>
          <xdr:colOff>19050</xdr:colOff>
          <xdr:row>196</xdr:row>
          <xdr:rowOff>257175</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3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196</xdr:row>
          <xdr:rowOff>9525</xdr:rowOff>
        </xdr:from>
        <xdr:to>
          <xdr:col>2</xdr:col>
          <xdr:colOff>923925</xdr:colOff>
          <xdr:row>196</xdr:row>
          <xdr:rowOff>257175</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3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196</xdr:row>
          <xdr:rowOff>9525</xdr:rowOff>
        </xdr:from>
        <xdr:to>
          <xdr:col>4</xdr:col>
          <xdr:colOff>19050</xdr:colOff>
          <xdr:row>196</xdr:row>
          <xdr:rowOff>257175</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3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197</xdr:row>
          <xdr:rowOff>9525</xdr:rowOff>
        </xdr:from>
        <xdr:to>
          <xdr:col>2</xdr:col>
          <xdr:colOff>19050</xdr:colOff>
          <xdr:row>197</xdr:row>
          <xdr:rowOff>257175</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3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197</xdr:row>
          <xdr:rowOff>9525</xdr:rowOff>
        </xdr:from>
        <xdr:to>
          <xdr:col>2</xdr:col>
          <xdr:colOff>923925</xdr:colOff>
          <xdr:row>197</xdr:row>
          <xdr:rowOff>257175</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3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197</xdr:row>
          <xdr:rowOff>9525</xdr:rowOff>
        </xdr:from>
        <xdr:to>
          <xdr:col>4</xdr:col>
          <xdr:colOff>19050</xdr:colOff>
          <xdr:row>197</xdr:row>
          <xdr:rowOff>257175</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3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176</xdr:row>
          <xdr:rowOff>9525</xdr:rowOff>
        </xdr:from>
        <xdr:to>
          <xdr:col>2</xdr:col>
          <xdr:colOff>9525</xdr:colOff>
          <xdr:row>176</xdr:row>
          <xdr:rowOff>257175</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3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176</xdr:row>
          <xdr:rowOff>9525</xdr:rowOff>
        </xdr:from>
        <xdr:to>
          <xdr:col>2</xdr:col>
          <xdr:colOff>923925</xdr:colOff>
          <xdr:row>176</xdr:row>
          <xdr:rowOff>257175</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3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176</xdr:row>
          <xdr:rowOff>9525</xdr:rowOff>
        </xdr:from>
        <xdr:to>
          <xdr:col>4</xdr:col>
          <xdr:colOff>9525</xdr:colOff>
          <xdr:row>176</xdr:row>
          <xdr:rowOff>257175</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3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234</xdr:row>
          <xdr:rowOff>9525</xdr:rowOff>
        </xdr:from>
        <xdr:to>
          <xdr:col>2</xdr:col>
          <xdr:colOff>0</xdr:colOff>
          <xdr:row>234</xdr:row>
          <xdr:rowOff>257175</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3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234</xdr:row>
          <xdr:rowOff>9525</xdr:rowOff>
        </xdr:from>
        <xdr:to>
          <xdr:col>2</xdr:col>
          <xdr:colOff>914400</xdr:colOff>
          <xdr:row>234</xdr:row>
          <xdr:rowOff>257175</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3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234</xdr:row>
          <xdr:rowOff>9525</xdr:rowOff>
        </xdr:from>
        <xdr:to>
          <xdr:col>4</xdr:col>
          <xdr:colOff>0</xdr:colOff>
          <xdr:row>234</xdr:row>
          <xdr:rowOff>257175</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3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248</xdr:row>
          <xdr:rowOff>9525</xdr:rowOff>
        </xdr:from>
        <xdr:to>
          <xdr:col>2</xdr:col>
          <xdr:colOff>0</xdr:colOff>
          <xdr:row>248</xdr:row>
          <xdr:rowOff>257175</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3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248</xdr:row>
          <xdr:rowOff>9525</xdr:rowOff>
        </xdr:from>
        <xdr:to>
          <xdr:col>2</xdr:col>
          <xdr:colOff>914400</xdr:colOff>
          <xdr:row>248</xdr:row>
          <xdr:rowOff>257175</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3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249</xdr:row>
          <xdr:rowOff>9525</xdr:rowOff>
        </xdr:from>
        <xdr:to>
          <xdr:col>2</xdr:col>
          <xdr:colOff>0</xdr:colOff>
          <xdr:row>249</xdr:row>
          <xdr:rowOff>257175</xdr:rowOff>
        </xdr:to>
        <xdr:sp macro="" textlink="">
          <xdr:nvSpPr>
            <xdr:cNvPr id="1083" name="Check Box 59" hidden="1">
              <a:extLst>
                <a:ext uri="{63B3BB69-23CF-44E3-9099-C40C66FF867C}">
                  <a14:compatExt spid="_x0000_s1083"/>
                </a:ext>
                <a:ext uri="{FF2B5EF4-FFF2-40B4-BE49-F238E27FC236}">
                  <a16:creationId xmlns:a16="http://schemas.microsoft.com/office/drawing/2014/main" id="{00000000-0008-0000-0300-00003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249</xdr:row>
          <xdr:rowOff>9525</xdr:rowOff>
        </xdr:from>
        <xdr:to>
          <xdr:col>2</xdr:col>
          <xdr:colOff>914400</xdr:colOff>
          <xdr:row>249</xdr:row>
          <xdr:rowOff>257175</xdr:rowOff>
        </xdr:to>
        <xdr:sp macro="" textlink="">
          <xdr:nvSpPr>
            <xdr:cNvPr id="1085" name="Check Box 61" hidden="1">
              <a:extLst>
                <a:ext uri="{63B3BB69-23CF-44E3-9099-C40C66FF867C}">
                  <a14:compatExt spid="_x0000_s1085"/>
                </a:ext>
                <a:ext uri="{FF2B5EF4-FFF2-40B4-BE49-F238E27FC236}">
                  <a16:creationId xmlns:a16="http://schemas.microsoft.com/office/drawing/2014/main" id="{00000000-0008-0000-03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261</xdr:row>
          <xdr:rowOff>9525</xdr:rowOff>
        </xdr:from>
        <xdr:to>
          <xdr:col>2</xdr:col>
          <xdr:colOff>914400</xdr:colOff>
          <xdr:row>261</xdr:row>
          <xdr:rowOff>257175</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3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261</xdr:row>
          <xdr:rowOff>9525</xdr:rowOff>
        </xdr:from>
        <xdr:to>
          <xdr:col>2</xdr:col>
          <xdr:colOff>0</xdr:colOff>
          <xdr:row>261</xdr:row>
          <xdr:rowOff>257175</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3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343</xdr:row>
          <xdr:rowOff>9525</xdr:rowOff>
        </xdr:from>
        <xdr:to>
          <xdr:col>2</xdr:col>
          <xdr:colOff>914400</xdr:colOff>
          <xdr:row>343</xdr:row>
          <xdr:rowOff>257175</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3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343</xdr:row>
          <xdr:rowOff>9525</xdr:rowOff>
        </xdr:from>
        <xdr:to>
          <xdr:col>2</xdr:col>
          <xdr:colOff>0</xdr:colOff>
          <xdr:row>343</xdr:row>
          <xdr:rowOff>257175</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3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343</xdr:row>
          <xdr:rowOff>9525</xdr:rowOff>
        </xdr:from>
        <xdr:to>
          <xdr:col>4</xdr:col>
          <xdr:colOff>0</xdr:colOff>
          <xdr:row>343</xdr:row>
          <xdr:rowOff>257175</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3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344</xdr:row>
          <xdr:rowOff>9525</xdr:rowOff>
        </xdr:from>
        <xdr:to>
          <xdr:col>2</xdr:col>
          <xdr:colOff>0</xdr:colOff>
          <xdr:row>344</xdr:row>
          <xdr:rowOff>257175</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3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344</xdr:row>
          <xdr:rowOff>9525</xdr:rowOff>
        </xdr:from>
        <xdr:to>
          <xdr:col>2</xdr:col>
          <xdr:colOff>914400</xdr:colOff>
          <xdr:row>344</xdr:row>
          <xdr:rowOff>257175</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3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344</xdr:row>
          <xdr:rowOff>9525</xdr:rowOff>
        </xdr:from>
        <xdr:to>
          <xdr:col>4</xdr:col>
          <xdr:colOff>0</xdr:colOff>
          <xdr:row>344</xdr:row>
          <xdr:rowOff>257175</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3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345</xdr:row>
          <xdr:rowOff>9525</xdr:rowOff>
        </xdr:from>
        <xdr:to>
          <xdr:col>2</xdr:col>
          <xdr:colOff>0</xdr:colOff>
          <xdr:row>345</xdr:row>
          <xdr:rowOff>257175</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300-00004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345</xdr:row>
          <xdr:rowOff>9525</xdr:rowOff>
        </xdr:from>
        <xdr:to>
          <xdr:col>2</xdr:col>
          <xdr:colOff>914400</xdr:colOff>
          <xdr:row>345</xdr:row>
          <xdr:rowOff>257175</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3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345</xdr:row>
          <xdr:rowOff>9525</xdr:rowOff>
        </xdr:from>
        <xdr:to>
          <xdr:col>4</xdr:col>
          <xdr:colOff>0</xdr:colOff>
          <xdr:row>345</xdr:row>
          <xdr:rowOff>257175</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300-00004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346</xdr:row>
          <xdr:rowOff>9525</xdr:rowOff>
        </xdr:from>
        <xdr:to>
          <xdr:col>2</xdr:col>
          <xdr:colOff>0</xdr:colOff>
          <xdr:row>346</xdr:row>
          <xdr:rowOff>257175</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300-00005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346</xdr:row>
          <xdr:rowOff>9525</xdr:rowOff>
        </xdr:from>
        <xdr:to>
          <xdr:col>2</xdr:col>
          <xdr:colOff>914400</xdr:colOff>
          <xdr:row>346</xdr:row>
          <xdr:rowOff>257175</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300-00005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346</xdr:row>
          <xdr:rowOff>9525</xdr:rowOff>
        </xdr:from>
        <xdr:to>
          <xdr:col>4</xdr:col>
          <xdr:colOff>0</xdr:colOff>
          <xdr:row>346</xdr:row>
          <xdr:rowOff>257175</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300-00005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347</xdr:row>
          <xdr:rowOff>9525</xdr:rowOff>
        </xdr:from>
        <xdr:to>
          <xdr:col>2</xdr:col>
          <xdr:colOff>0</xdr:colOff>
          <xdr:row>347</xdr:row>
          <xdr:rowOff>257175</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300-00005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347</xdr:row>
          <xdr:rowOff>9525</xdr:rowOff>
        </xdr:from>
        <xdr:to>
          <xdr:col>2</xdr:col>
          <xdr:colOff>914400</xdr:colOff>
          <xdr:row>347</xdr:row>
          <xdr:rowOff>257175</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300-00005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347</xdr:row>
          <xdr:rowOff>9525</xdr:rowOff>
        </xdr:from>
        <xdr:to>
          <xdr:col>4</xdr:col>
          <xdr:colOff>0</xdr:colOff>
          <xdr:row>347</xdr:row>
          <xdr:rowOff>257175</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300-00005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348</xdr:row>
          <xdr:rowOff>9525</xdr:rowOff>
        </xdr:from>
        <xdr:to>
          <xdr:col>2</xdr:col>
          <xdr:colOff>0</xdr:colOff>
          <xdr:row>348</xdr:row>
          <xdr:rowOff>257175</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300-00005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348</xdr:row>
          <xdr:rowOff>9525</xdr:rowOff>
        </xdr:from>
        <xdr:to>
          <xdr:col>2</xdr:col>
          <xdr:colOff>914400</xdr:colOff>
          <xdr:row>348</xdr:row>
          <xdr:rowOff>257175</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300-00005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348</xdr:row>
          <xdr:rowOff>9525</xdr:rowOff>
        </xdr:from>
        <xdr:to>
          <xdr:col>4</xdr:col>
          <xdr:colOff>0</xdr:colOff>
          <xdr:row>348</xdr:row>
          <xdr:rowOff>257175</xdr:rowOff>
        </xdr:to>
        <xdr:sp macro="" textlink="">
          <xdr:nvSpPr>
            <xdr:cNvPr id="1116" name="Check Box 92" hidden="1">
              <a:extLst>
                <a:ext uri="{63B3BB69-23CF-44E3-9099-C40C66FF867C}">
                  <a14:compatExt spid="_x0000_s1116"/>
                </a:ext>
                <a:ext uri="{FF2B5EF4-FFF2-40B4-BE49-F238E27FC236}">
                  <a16:creationId xmlns:a16="http://schemas.microsoft.com/office/drawing/2014/main" id="{00000000-0008-0000-0300-00005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349</xdr:row>
          <xdr:rowOff>9525</xdr:rowOff>
        </xdr:from>
        <xdr:to>
          <xdr:col>2</xdr:col>
          <xdr:colOff>0</xdr:colOff>
          <xdr:row>349</xdr:row>
          <xdr:rowOff>257175</xdr:rowOff>
        </xdr:to>
        <xdr:sp macro="" textlink="">
          <xdr:nvSpPr>
            <xdr:cNvPr id="1117" name="Check Box 93" hidden="1">
              <a:extLst>
                <a:ext uri="{63B3BB69-23CF-44E3-9099-C40C66FF867C}">
                  <a14:compatExt spid="_x0000_s1117"/>
                </a:ext>
                <a:ext uri="{FF2B5EF4-FFF2-40B4-BE49-F238E27FC236}">
                  <a16:creationId xmlns:a16="http://schemas.microsoft.com/office/drawing/2014/main" id="{00000000-0008-0000-0300-00005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349</xdr:row>
          <xdr:rowOff>9525</xdr:rowOff>
        </xdr:from>
        <xdr:to>
          <xdr:col>2</xdr:col>
          <xdr:colOff>914400</xdr:colOff>
          <xdr:row>349</xdr:row>
          <xdr:rowOff>257175</xdr:rowOff>
        </xdr:to>
        <xdr:sp macro="" textlink="">
          <xdr:nvSpPr>
            <xdr:cNvPr id="1119" name="Check Box 95" hidden="1">
              <a:extLst>
                <a:ext uri="{63B3BB69-23CF-44E3-9099-C40C66FF867C}">
                  <a14:compatExt spid="_x0000_s1119"/>
                </a:ext>
                <a:ext uri="{FF2B5EF4-FFF2-40B4-BE49-F238E27FC236}">
                  <a16:creationId xmlns:a16="http://schemas.microsoft.com/office/drawing/2014/main" id="{00000000-0008-0000-0300-00005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349</xdr:row>
          <xdr:rowOff>9525</xdr:rowOff>
        </xdr:from>
        <xdr:to>
          <xdr:col>4</xdr:col>
          <xdr:colOff>0</xdr:colOff>
          <xdr:row>349</xdr:row>
          <xdr:rowOff>257175</xdr:rowOff>
        </xdr:to>
        <xdr:sp macro="" textlink="">
          <xdr:nvSpPr>
            <xdr:cNvPr id="1121" name="Check Box 97" hidden="1">
              <a:extLst>
                <a:ext uri="{63B3BB69-23CF-44E3-9099-C40C66FF867C}">
                  <a14:compatExt spid="_x0000_s1121"/>
                </a:ext>
                <a:ext uri="{FF2B5EF4-FFF2-40B4-BE49-F238E27FC236}">
                  <a16:creationId xmlns:a16="http://schemas.microsoft.com/office/drawing/2014/main" id="{00000000-0008-0000-0300-00006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49</xdr:row>
          <xdr:rowOff>9525</xdr:rowOff>
        </xdr:from>
        <xdr:to>
          <xdr:col>2</xdr:col>
          <xdr:colOff>9525</xdr:colOff>
          <xdr:row>49</xdr:row>
          <xdr:rowOff>257175</xdr:rowOff>
        </xdr:to>
        <xdr:sp macro="" textlink="">
          <xdr:nvSpPr>
            <xdr:cNvPr id="1122" name="Check Box 98" hidden="1">
              <a:extLst>
                <a:ext uri="{63B3BB69-23CF-44E3-9099-C40C66FF867C}">
                  <a14:compatExt spid="_x0000_s1122"/>
                </a:ext>
                <a:ext uri="{FF2B5EF4-FFF2-40B4-BE49-F238E27FC236}">
                  <a16:creationId xmlns:a16="http://schemas.microsoft.com/office/drawing/2014/main" id="{00000000-0008-0000-0300-00006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49</xdr:row>
          <xdr:rowOff>9525</xdr:rowOff>
        </xdr:from>
        <xdr:to>
          <xdr:col>2</xdr:col>
          <xdr:colOff>923925</xdr:colOff>
          <xdr:row>49</xdr:row>
          <xdr:rowOff>257175</xdr:rowOff>
        </xdr:to>
        <xdr:sp macro="" textlink="">
          <xdr:nvSpPr>
            <xdr:cNvPr id="1123" name="Check Box 99" hidden="1">
              <a:extLst>
                <a:ext uri="{63B3BB69-23CF-44E3-9099-C40C66FF867C}">
                  <a14:compatExt spid="_x0000_s1123"/>
                </a:ext>
                <a:ext uri="{FF2B5EF4-FFF2-40B4-BE49-F238E27FC236}">
                  <a16:creationId xmlns:a16="http://schemas.microsoft.com/office/drawing/2014/main" id="{00000000-0008-0000-0300-00006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49</xdr:row>
          <xdr:rowOff>9525</xdr:rowOff>
        </xdr:from>
        <xdr:to>
          <xdr:col>4</xdr:col>
          <xdr:colOff>9525</xdr:colOff>
          <xdr:row>49</xdr:row>
          <xdr:rowOff>257175</xdr:rowOff>
        </xdr:to>
        <xdr:sp macro="" textlink="">
          <xdr:nvSpPr>
            <xdr:cNvPr id="1125" name="Check Box 101" hidden="1">
              <a:extLst>
                <a:ext uri="{63B3BB69-23CF-44E3-9099-C40C66FF867C}">
                  <a14:compatExt spid="_x0000_s1125"/>
                </a:ext>
                <a:ext uri="{FF2B5EF4-FFF2-40B4-BE49-F238E27FC236}">
                  <a16:creationId xmlns:a16="http://schemas.microsoft.com/office/drawing/2014/main" id="{00000000-0008-0000-0300-00006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xdr:row>
          <xdr:rowOff>38100</xdr:rowOff>
        </xdr:from>
        <xdr:to>
          <xdr:col>5</xdr:col>
          <xdr:colOff>0</xdr:colOff>
          <xdr:row>2</xdr:row>
          <xdr:rowOff>266700</xdr:rowOff>
        </xdr:to>
        <xdr:sp macro="" textlink="">
          <xdr:nvSpPr>
            <xdr:cNvPr id="1250" name="Check Box 226" descr="Beslutad av &#10;Länsstyrelsen" hidden="1">
              <a:extLst>
                <a:ext uri="{63B3BB69-23CF-44E3-9099-C40C66FF867C}">
                  <a14:compatExt spid="_x0000_s1250"/>
                </a:ext>
                <a:ext uri="{FF2B5EF4-FFF2-40B4-BE49-F238E27FC236}">
                  <a16:creationId xmlns:a16="http://schemas.microsoft.com/office/drawing/2014/main" id="{00000000-0008-0000-0300-0000E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v-SE" sz="800" b="0" i="0" u="none" strike="noStrike" baseline="0">
                  <a:solidFill>
                    <a:srgbClr val="000000"/>
                  </a:solidFill>
                  <a:latin typeface="Tahoma"/>
                  <a:ea typeface="Tahoma"/>
                  <a:cs typeface="Tahoma"/>
                </a:rPr>
                <a:t>Älgskötselplan (nytt älgskötselområde/ny period)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xdr:row>
          <xdr:rowOff>276225</xdr:rowOff>
        </xdr:from>
        <xdr:to>
          <xdr:col>5</xdr:col>
          <xdr:colOff>0</xdr:colOff>
          <xdr:row>2</xdr:row>
          <xdr:rowOff>523875</xdr:rowOff>
        </xdr:to>
        <xdr:sp macro="" textlink="">
          <xdr:nvSpPr>
            <xdr:cNvPr id="1251" name="Check Box 227" descr="Beslutad av &#10;Länsstyrelsen" hidden="1">
              <a:extLst>
                <a:ext uri="{63B3BB69-23CF-44E3-9099-C40C66FF867C}">
                  <a14:compatExt spid="_x0000_s1251"/>
                </a:ext>
                <a:ext uri="{FF2B5EF4-FFF2-40B4-BE49-F238E27FC236}">
                  <a16:creationId xmlns:a16="http://schemas.microsoft.com/office/drawing/2014/main" id="{00000000-0008-0000-0300-0000E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v-SE" sz="800" b="0" i="0" u="none" strike="noStrike" baseline="0">
                  <a:solidFill>
                    <a:srgbClr val="000000"/>
                  </a:solidFill>
                  <a:latin typeface="Tahoma"/>
                  <a:ea typeface="Tahoma"/>
                  <a:cs typeface="Tahoma"/>
                </a:rPr>
                <a:t>Reviderad älgskötselplan (inom pågående period)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xdr:row>
          <xdr:rowOff>552450</xdr:rowOff>
        </xdr:from>
        <xdr:to>
          <xdr:col>5</xdr:col>
          <xdr:colOff>0</xdr:colOff>
          <xdr:row>2</xdr:row>
          <xdr:rowOff>809625</xdr:rowOff>
        </xdr:to>
        <xdr:sp macro="" textlink="">
          <xdr:nvSpPr>
            <xdr:cNvPr id="1252" name="Check Box 228" descr="Beslutad av &#10;Länsstyrelsen" hidden="1">
              <a:extLst>
                <a:ext uri="{63B3BB69-23CF-44E3-9099-C40C66FF867C}">
                  <a14:compatExt spid="_x0000_s1252"/>
                </a:ext>
                <a:ext uri="{FF2B5EF4-FFF2-40B4-BE49-F238E27FC236}">
                  <a16:creationId xmlns:a16="http://schemas.microsoft.com/office/drawing/2014/main" id="{00000000-0008-0000-0300-0000E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v-SE" sz="800" b="0" i="0" u="none" strike="noStrike" baseline="0">
                  <a:solidFill>
                    <a:srgbClr val="000000"/>
                  </a:solidFill>
                  <a:latin typeface="Tahoma"/>
                  <a:ea typeface="Tahoma"/>
                  <a:cs typeface="Tahoma"/>
                </a:rPr>
                <a:t>Reviderad avskjutningsplan (inom pågående period)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xdr:row>
          <xdr:rowOff>38100</xdr:rowOff>
        </xdr:from>
        <xdr:to>
          <xdr:col>5</xdr:col>
          <xdr:colOff>0</xdr:colOff>
          <xdr:row>4</xdr:row>
          <xdr:rowOff>0</xdr:rowOff>
        </xdr:to>
        <xdr:sp macro="" textlink="">
          <xdr:nvSpPr>
            <xdr:cNvPr id="1259" name="Check Box 235" descr="Beslutad av &#10;Länsstyrelsen" hidden="1">
              <a:extLst>
                <a:ext uri="{63B3BB69-23CF-44E3-9099-C40C66FF867C}">
                  <a14:compatExt spid="_x0000_s1259"/>
                </a:ext>
                <a:ext uri="{FF2B5EF4-FFF2-40B4-BE49-F238E27FC236}">
                  <a16:creationId xmlns:a16="http://schemas.microsoft.com/office/drawing/2014/main" id="{00000000-0008-0000-0300-0000E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v-SE" sz="800" b="0" i="0" u="none" strike="noStrike" baseline="0">
                  <a:solidFill>
                    <a:srgbClr val="000000"/>
                  </a:solidFill>
                  <a:latin typeface="Tahoma"/>
                  <a:ea typeface="Tahoma"/>
                  <a:cs typeface="Tahoma"/>
                </a:rPr>
                <a:t>Nytt ärende (planen har inte lämnats tidigare)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xdr:row>
          <xdr:rowOff>0</xdr:rowOff>
        </xdr:from>
        <xdr:to>
          <xdr:col>3</xdr:col>
          <xdr:colOff>657225</xdr:colOff>
          <xdr:row>5</xdr:row>
          <xdr:rowOff>19050</xdr:rowOff>
        </xdr:to>
        <xdr:sp macro="" textlink="">
          <xdr:nvSpPr>
            <xdr:cNvPr id="1260" name="Check Box 236" descr="Beslutad av &#10;Länsstyrelsen" hidden="1">
              <a:extLst>
                <a:ext uri="{63B3BB69-23CF-44E3-9099-C40C66FF867C}">
                  <a14:compatExt spid="_x0000_s1260"/>
                </a:ext>
                <a:ext uri="{FF2B5EF4-FFF2-40B4-BE49-F238E27FC236}">
                  <a16:creationId xmlns:a16="http://schemas.microsoft.com/office/drawing/2014/main" id="{00000000-0008-0000-0300-0000E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v-SE" sz="800" b="0" i="0" u="none" strike="noStrike" baseline="0">
                  <a:solidFill>
                    <a:srgbClr val="000000"/>
                  </a:solidFill>
                  <a:latin typeface="Tahoma"/>
                  <a:ea typeface="Tahoma"/>
                  <a:cs typeface="Tahoma"/>
                </a:rPr>
                <a:t>Till befintligt ärende. Diarie nr: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11</xdr:row>
          <xdr:rowOff>9525</xdr:rowOff>
        </xdr:from>
        <xdr:to>
          <xdr:col>5</xdr:col>
          <xdr:colOff>19050</xdr:colOff>
          <xdr:row>11</xdr:row>
          <xdr:rowOff>247650</xdr:rowOff>
        </xdr:to>
        <xdr:sp macro="" textlink="">
          <xdr:nvSpPr>
            <xdr:cNvPr id="1274" name="Check Box 250" descr="Beslutad av &#10;Länsstyrelsen" hidden="1">
              <a:extLst>
                <a:ext uri="{63B3BB69-23CF-44E3-9099-C40C66FF867C}">
                  <a14:compatExt spid="_x0000_s1274"/>
                </a:ext>
                <a:ext uri="{FF2B5EF4-FFF2-40B4-BE49-F238E27FC236}">
                  <a16:creationId xmlns:a16="http://schemas.microsoft.com/office/drawing/2014/main" id="{00000000-0008-0000-0300-0000F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v-SE" sz="800" b="0" i="0" u="none" strike="noStrike" baseline="0">
                  <a:solidFill>
                    <a:srgbClr val="000000"/>
                  </a:solidFill>
                  <a:latin typeface="Tahoma"/>
                  <a:ea typeface="Tahoma"/>
                  <a:cs typeface="Tahoma"/>
                </a:rPr>
                <a:t>Beslutad av Länsstyrelsen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11</xdr:row>
          <xdr:rowOff>295275</xdr:rowOff>
        </xdr:from>
        <xdr:to>
          <xdr:col>5</xdr:col>
          <xdr:colOff>19050</xdr:colOff>
          <xdr:row>11</xdr:row>
          <xdr:rowOff>533400</xdr:rowOff>
        </xdr:to>
        <xdr:sp macro="" textlink="">
          <xdr:nvSpPr>
            <xdr:cNvPr id="1275" name="Check Box 251" hidden="1">
              <a:extLst>
                <a:ext uri="{63B3BB69-23CF-44E3-9099-C40C66FF867C}">
                  <a14:compatExt spid="_x0000_s1275"/>
                </a:ext>
                <a:ext uri="{FF2B5EF4-FFF2-40B4-BE49-F238E27FC236}">
                  <a16:creationId xmlns:a16="http://schemas.microsoft.com/office/drawing/2014/main" id="{00000000-0008-0000-0300-0000F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v-SE" sz="800" b="0" i="0" u="none" strike="noStrike" baseline="0">
                  <a:solidFill>
                    <a:srgbClr val="000000"/>
                  </a:solidFill>
                  <a:latin typeface="Tahoma"/>
                  <a:ea typeface="Tahoma"/>
                  <a:cs typeface="Tahoma"/>
                </a:rPr>
                <a:t>Ansökt areal (nytt/ändrat område)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329</xdr:row>
          <xdr:rowOff>66675</xdr:rowOff>
        </xdr:from>
        <xdr:to>
          <xdr:col>7</xdr:col>
          <xdr:colOff>609600</xdr:colOff>
          <xdr:row>330</xdr:row>
          <xdr:rowOff>19050</xdr:rowOff>
        </xdr:to>
        <xdr:sp macro="" textlink="">
          <xdr:nvSpPr>
            <xdr:cNvPr id="1287" name="Check Box 263" hidden="1">
              <a:extLst>
                <a:ext uri="{63B3BB69-23CF-44E3-9099-C40C66FF867C}">
                  <a14:compatExt spid="_x0000_s1287"/>
                </a:ext>
                <a:ext uri="{FF2B5EF4-FFF2-40B4-BE49-F238E27FC236}">
                  <a16:creationId xmlns:a16="http://schemas.microsoft.com/office/drawing/2014/main" id="{00000000-0008-0000-0300-00000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v-SE" sz="800" b="0" i="0" u="none" strike="noStrike" baseline="0">
                  <a:solidFill>
                    <a:srgbClr val="000000"/>
                  </a:solidFill>
                  <a:latin typeface="Tahoma"/>
                  <a:ea typeface="Tahoma"/>
                  <a:cs typeface="Tahoma"/>
                </a:rPr>
                <a:t>Annan beräkning/förslag (bifogas)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309</xdr:row>
          <xdr:rowOff>0</xdr:rowOff>
        </xdr:from>
        <xdr:to>
          <xdr:col>4</xdr:col>
          <xdr:colOff>904875</xdr:colOff>
          <xdr:row>310</xdr:row>
          <xdr:rowOff>0</xdr:rowOff>
        </xdr:to>
        <xdr:sp macro="" textlink="">
          <xdr:nvSpPr>
            <xdr:cNvPr id="1301" name="Nedrullningsbar listruta 277" hidden="1">
              <a:extLst>
                <a:ext uri="{63B3BB69-23CF-44E3-9099-C40C66FF867C}">
                  <a14:compatExt spid="_x0000_s1301"/>
                </a:ext>
                <a:ext uri="{FF2B5EF4-FFF2-40B4-BE49-F238E27FC236}">
                  <a16:creationId xmlns:a16="http://schemas.microsoft.com/office/drawing/2014/main" id="{00000000-0008-0000-0300-000015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310</xdr:row>
          <xdr:rowOff>0</xdr:rowOff>
        </xdr:from>
        <xdr:to>
          <xdr:col>4</xdr:col>
          <xdr:colOff>904875</xdr:colOff>
          <xdr:row>311</xdr:row>
          <xdr:rowOff>0</xdr:rowOff>
        </xdr:to>
        <xdr:sp macro="" textlink="">
          <xdr:nvSpPr>
            <xdr:cNvPr id="1302" name="Nedrullningsbar listruta 278" hidden="1">
              <a:extLst>
                <a:ext uri="{63B3BB69-23CF-44E3-9099-C40C66FF867C}">
                  <a14:compatExt spid="_x0000_s1302"/>
                </a:ext>
                <a:ext uri="{FF2B5EF4-FFF2-40B4-BE49-F238E27FC236}">
                  <a16:creationId xmlns:a16="http://schemas.microsoft.com/office/drawing/2014/main" id="{00000000-0008-0000-0300-000016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311</xdr:row>
          <xdr:rowOff>0</xdr:rowOff>
        </xdr:from>
        <xdr:to>
          <xdr:col>4</xdr:col>
          <xdr:colOff>904875</xdr:colOff>
          <xdr:row>312</xdr:row>
          <xdr:rowOff>0</xdr:rowOff>
        </xdr:to>
        <xdr:sp macro="" textlink="">
          <xdr:nvSpPr>
            <xdr:cNvPr id="1303" name="Nedrullningsbar listruta 279" hidden="1">
              <a:extLst>
                <a:ext uri="{63B3BB69-23CF-44E3-9099-C40C66FF867C}">
                  <a14:compatExt spid="_x0000_s1303"/>
                </a:ext>
                <a:ext uri="{FF2B5EF4-FFF2-40B4-BE49-F238E27FC236}">
                  <a16:creationId xmlns:a16="http://schemas.microsoft.com/office/drawing/2014/main" id="{00000000-0008-0000-0300-000017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312</xdr:row>
          <xdr:rowOff>0</xdr:rowOff>
        </xdr:from>
        <xdr:to>
          <xdr:col>4</xdr:col>
          <xdr:colOff>904875</xdr:colOff>
          <xdr:row>313</xdr:row>
          <xdr:rowOff>0</xdr:rowOff>
        </xdr:to>
        <xdr:sp macro="" textlink="">
          <xdr:nvSpPr>
            <xdr:cNvPr id="1304" name="Nedrullningsbar listruta 280" hidden="1">
              <a:extLst>
                <a:ext uri="{63B3BB69-23CF-44E3-9099-C40C66FF867C}">
                  <a14:compatExt spid="_x0000_s1304"/>
                </a:ext>
                <a:ext uri="{FF2B5EF4-FFF2-40B4-BE49-F238E27FC236}">
                  <a16:creationId xmlns:a16="http://schemas.microsoft.com/office/drawing/2014/main" id="{00000000-0008-0000-0300-000018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313</xdr:row>
          <xdr:rowOff>0</xdr:rowOff>
        </xdr:from>
        <xdr:to>
          <xdr:col>4</xdr:col>
          <xdr:colOff>904875</xdr:colOff>
          <xdr:row>314</xdr:row>
          <xdr:rowOff>0</xdr:rowOff>
        </xdr:to>
        <xdr:sp macro="" textlink="">
          <xdr:nvSpPr>
            <xdr:cNvPr id="1305" name="Nedrullningsbar listruta 281" hidden="1">
              <a:extLst>
                <a:ext uri="{63B3BB69-23CF-44E3-9099-C40C66FF867C}">
                  <a14:compatExt spid="_x0000_s1305"/>
                </a:ext>
                <a:ext uri="{FF2B5EF4-FFF2-40B4-BE49-F238E27FC236}">
                  <a16:creationId xmlns:a16="http://schemas.microsoft.com/office/drawing/2014/main" id="{00000000-0008-0000-0300-000019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314</xdr:row>
          <xdr:rowOff>0</xdr:rowOff>
        </xdr:from>
        <xdr:to>
          <xdr:col>4</xdr:col>
          <xdr:colOff>904875</xdr:colOff>
          <xdr:row>315</xdr:row>
          <xdr:rowOff>0</xdr:rowOff>
        </xdr:to>
        <xdr:sp macro="" textlink="">
          <xdr:nvSpPr>
            <xdr:cNvPr id="1306" name="Nedrullningsbar listruta 282" hidden="1">
              <a:extLst>
                <a:ext uri="{63B3BB69-23CF-44E3-9099-C40C66FF867C}">
                  <a14:compatExt spid="_x0000_s1306"/>
                </a:ext>
                <a:ext uri="{FF2B5EF4-FFF2-40B4-BE49-F238E27FC236}">
                  <a16:creationId xmlns:a16="http://schemas.microsoft.com/office/drawing/2014/main" id="{00000000-0008-0000-0300-00001A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315</xdr:row>
          <xdr:rowOff>0</xdr:rowOff>
        </xdr:from>
        <xdr:to>
          <xdr:col>4</xdr:col>
          <xdr:colOff>904875</xdr:colOff>
          <xdr:row>316</xdr:row>
          <xdr:rowOff>0</xdr:rowOff>
        </xdr:to>
        <xdr:sp macro="" textlink="">
          <xdr:nvSpPr>
            <xdr:cNvPr id="1307" name="Nedrullningsbar listruta 283" hidden="1">
              <a:extLst>
                <a:ext uri="{63B3BB69-23CF-44E3-9099-C40C66FF867C}">
                  <a14:compatExt spid="_x0000_s1307"/>
                </a:ext>
                <a:ext uri="{FF2B5EF4-FFF2-40B4-BE49-F238E27FC236}">
                  <a16:creationId xmlns:a16="http://schemas.microsoft.com/office/drawing/2014/main" id="{00000000-0008-0000-0300-00001B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316</xdr:row>
          <xdr:rowOff>0</xdr:rowOff>
        </xdr:from>
        <xdr:to>
          <xdr:col>4</xdr:col>
          <xdr:colOff>904875</xdr:colOff>
          <xdr:row>317</xdr:row>
          <xdr:rowOff>0</xdr:rowOff>
        </xdr:to>
        <xdr:sp macro="" textlink="">
          <xdr:nvSpPr>
            <xdr:cNvPr id="1308" name="Nedrullningsbar listruta 284" hidden="1">
              <a:extLst>
                <a:ext uri="{63B3BB69-23CF-44E3-9099-C40C66FF867C}">
                  <a14:compatExt spid="_x0000_s1308"/>
                </a:ext>
                <a:ext uri="{FF2B5EF4-FFF2-40B4-BE49-F238E27FC236}">
                  <a16:creationId xmlns:a16="http://schemas.microsoft.com/office/drawing/2014/main" id="{00000000-0008-0000-0300-00001C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317</xdr:row>
          <xdr:rowOff>0</xdr:rowOff>
        </xdr:from>
        <xdr:to>
          <xdr:col>4</xdr:col>
          <xdr:colOff>904875</xdr:colOff>
          <xdr:row>318</xdr:row>
          <xdr:rowOff>0</xdr:rowOff>
        </xdr:to>
        <xdr:sp macro="" textlink="">
          <xdr:nvSpPr>
            <xdr:cNvPr id="1309" name="Nedrullningsbar listruta 285" hidden="1">
              <a:extLst>
                <a:ext uri="{63B3BB69-23CF-44E3-9099-C40C66FF867C}">
                  <a14:compatExt spid="_x0000_s1309"/>
                </a:ext>
                <a:ext uri="{FF2B5EF4-FFF2-40B4-BE49-F238E27FC236}">
                  <a16:creationId xmlns:a16="http://schemas.microsoft.com/office/drawing/2014/main" id="{00000000-0008-0000-0300-00001D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318</xdr:row>
          <xdr:rowOff>0</xdr:rowOff>
        </xdr:from>
        <xdr:to>
          <xdr:col>4</xdr:col>
          <xdr:colOff>904875</xdr:colOff>
          <xdr:row>319</xdr:row>
          <xdr:rowOff>0</xdr:rowOff>
        </xdr:to>
        <xdr:sp macro="" textlink="">
          <xdr:nvSpPr>
            <xdr:cNvPr id="1310" name="Nedrullningsbar listruta 286" hidden="1">
              <a:extLst>
                <a:ext uri="{63B3BB69-23CF-44E3-9099-C40C66FF867C}">
                  <a14:compatExt spid="_x0000_s1310"/>
                </a:ext>
                <a:ext uri="{FF2B5EF4-FFF2-40B4-BE49-F238E27FC236}">
                  <a16:creationId xmlns:a16="http://schemas.microsoft.com/office/drawing/2014/main" id="{00000000-0008-0000-0300-00001E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319</xdr:row>
          <xdr:rowOff>0</xdr:rowOff>
        </xdr:from>
        <xdr:to>
          <xdr:col>4</xdr:col>
          <xdr:colOff>904875</xdr:colOff>
          <xdr:row>320</xdr:row>
          <xdr:rowOff>0</xdr:rowOff>
        </xdr:to>
        <xdr:sp macro="" textlink="">
          <xdr:nvSpPr>
            <xdr:cNvPr id="1311" name="Nedrullningsbar listruta 287" hidden="1">
              <a:extLst>
                <a:ext uri="{63B3BB69-23CF-44E3-9099-C40C66FF867C}">
                  <a14:compatExt spid="_x0000_s1311"/>
                </a:ext>
                <a:ext uri="{FF2B5EF4-FFF2-40B4-BE49-F238E27FC236}">
                  <a16:creationId xmlns:a16="http://schemas.microsoft.com/office/drawing/2014/main" id="{00000000-0008-0000-0300-00001F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320</xdr:row>
          <xdr:rowOff>0</xdr:rowOff>
        </xdr:from>
        <xdr:to>
          <xdr:col>4</xdr:col>
          <xdr:colOff>904875</xdr:colOff>
          <xdr:row>321</xdr:row>
          <xdr:rowOff>0</xdr:rowOff>
        </xdr:to>
        <xdr:sp macro="" textlink="">
          <xdr:nvSpPr>
            <xdr:cNvPr id="1312" name="Nedrullningsbar listruta 288" hidden="1">
              <a:extLst>
                <a:ext uri="{63B3BB69-23CF-44E3-9099-C40C66FF867C}">
                  <a14:compatExt spid="_x0000_s1312"/>
                </a:ext>
                <a:ext uri="{FF2B5EF4-FFF2-40B4-BE49-F238E27FC236}">
                  <a16:creationId xmlns:a16="http://schemas.microsoft.com/office/drawing/2014/main" id="{00000000-0008-0000-0300-000020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590550</xdr:colOff>
          <xdr:row>6</xdr:row>
          <xdr:rowOff>190500</xdr:rowOff>
        </xdr:from>
        <xdr:to>
          <xdr:col>2</xdr:col>
          <xdr:colOff>0</xdr:colOff>
          <xdr:row>8</xdr:row>
          <xdr:rowOff>0</xdr:rowOff>
        </xdr:to>
        <xdr:sp macro="" textlink="">
          <xdr:nvSpPr>
            <xdr:cNvPr id="17412" name="Nedrullningsbar listruta 4" hidden="1">
              <a:extLst>
                <a:ext uri="{63B3BB69-23CF-44E3-9099-C40C66FF867C}">
                  <a14:compatExt spid="_x0000_s17412"/>
                </a:ext>
                <a:ext uri="{FF2B5EF4-FFF2-40B4-BE49-F238E27FC236}">
                  <a16:creationId xmlns:a16="http://schemas.microsoft.com/office/drawing/2014/main" id="{00000000-0008-0000-0400-000004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590550</xdr:colOff>
          <xdr:row>6</xdr:row>
          <xdr:rowOff>190500</xdr:rowOff>
        </xdr:from>
        <xdr:to>
          <xdr:col>3</xdr:col>
          <xdr:colOff>257175</xdr:colOff>
          <xdr:row>8</xdr:row>
          <xdr:rowOff>0</xdr:rowOff>
        </xdr:to>
        <xdr:sp macro="" textlink="">
          <xdr:nvSpPr>
            <xdr:cNvPr id="17413" name="Drop Down 5" hidden="1">
              <a:extLst>
                <a:ext uri="{63B3BB69-23CF-44E3-9099-C40C66FF867C}">
                  <a14:compatExt spid="_x0000_s17413"/>
                </a:ext>
                <a:ext uri="{FF2B5EF4-FFF2-40B4-BE49-F238E27FC236}">
                  <a16:creationId xmlns:a16="http://schemas.microsoft.com/office/drawing/2014/main" id="{00000000-0008-0000-0400-000005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0</xdr:colOff>
      <xdr:row>83</xdr:row>
      <xdr:rowOff>66675</xdr:rowOff>
    </xdr:from>
    <xdr:to>
      <xdr:col>3</xdr:col>
      <xdr:colOff>628650</xdr:colOff>
      <xdr:row>94</xdr:row>
      <xdr:rowOff>0</xdr:rowOff>
    </xdr:to>
    <xdr:graphicFrame macro="">
      <xdr:nvGraphicFramePr>
        <xdr:cNvPr id="2" name="Diagram 1">
          <a:extLst>
            <a:ext uri="{FF2B5EF4-FFF2-40B4-BE49-F238E27FC236}">
              <a16:creationId xmlns:a16="http://schemas.microsoft.com/office/drawing/2014/main" id="{00000000-0008-0000-0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36419</xdr:colOff>
      <xdr:row>48</xdr:row>
      <xdr:rowOff>155202</xdr:rowOff>
    </xdr:from>
    <xdr:to>
      <xdr:col>11</xdr:col>
      <xdr:colOff>549088</xdr:colOff>
      <xdr:row>72</xdr:row>
      <xdr:rowOff>33619</xdr:rowOff>
    </xdr:to>
    <xdr:graphicFrame macro="">
      <xdr:nvGraphicFramePr>
        <xdr:cNvPr id="3" name="Diagram 2">
          <a:extLst>
            <a:ext uri="{FF2B5EF4-FFF2-40B4-BE49-F238E27FC236}">
              <a16:creationId xmlns:a16="http://schemas.microsoft.com/office/drawing/2014/main" id="{00000000-0008-0000-06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549088</xdr:colOff>
      <xdr:row>51</xdr:row>
      <xdr:rowOff>56029</xdr:rowOff>
    </xdr:from>
    <xdr:to>
      <xdr:col>5</xdr:col>
      <xdr:colOff>863412</xdr:colOff>
      <xdr:row>72</xdr:row>
      <xdr:rowOff>31935</xdr:rowOff>
    </xdr:to>
    <xdr:graphicFrame macro="">
      <xdr:nvGraphicFramePr>
        <xdr:cNvPr id="4" name="Diagram 3">
          <a:extLst>
            <a:ext uri="{FF2B5EF4-FFF2-40B4-BE49-F238E27FC236}">
              <a16:creationId xmlns:a16="http://schemas.microsoft.com/office/drawing/2014/main" id="{00000000-0008-0000-06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43142</xdr:colOff>
      <xdr:row>51</xdr:row>
      <xdr:rowOff>33618</xdr:rowOff>
    </xdr:from>
    <xdr:to>
      <xdr:col>2</xdr:col>
      <xdr:colOff>357468</xdr:colOff>
      <xdr:row>72</xdr:row>
      <xdr:rowOff>17370</xdr:rowOff>
    </xdr:to>
    <xdr:graphicFrame macro="">
      <xdr:nvGraphicFramePr>
        <xdr:cNvPr id="5" name="Diagram 4">
          <a:extLst>
            <a:ext uri="{FF2B5EF4-FFF2-40B4-BE49-F238E27FC236}">
              <a16:creationId xmlns:a16="http://schemas.microsoft.com/office/drawing/2014/main" id="{00000000-0008-0000-06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110</xdr:row>
      <xdr:rowOff>66675</xdr:rowOff>
    </xdr:from>
    <xdr:to>
      <xdr:col>3</xdr:col>
      <xdr:colOff>628650</xdr:colOff>
      <xdr:row>121</xdr:row>
      <xdr:rowOff>0</xdr:rowOff>
    </xdr:to>
    <xdr:graphicFrame macro="">
      <xdr:nvGraphicFramePr>
        <xdr:cNvPr id="6" name="Diagram 5">
          <a:extLst>
            <a:ext uri="{FF2B5EF4-FFF2-40B4-BE49-F238E27FC236}">
              <a16:creationId xmlns:a16="http://schemas.microsoft.com/office/drawing/2014/main" id="{00000000-0008-0000-06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914400</xdr:colOff>
      <xdr:row>110</xdr:row>
      <xdr:rowOff>47625</xdr:rowOff>
    </xdr:from>
    <xdr:to>
      <xdr:col>10</xdr:col>
      <xdr:colOff>123825</xdr:colOff>
      <xdr:row>120</xdr:row>
      <xdr:rowOff>142875</xdr:rowOff>
    </xdr:to>
    <xdr:graphicFrame macro="">
      <xdr:nvGraphicFramePr>
        <xdr:cNvPr id="7" name="Diagram 6">
          <a:extLst>
            <a:ext uri="{FF2B5EF4-FFF2-40B4-BE49-F238E27FC236}">
              <a16:creationId xmlns:a16="http://schemas.microsoft.com/office/drawing/2014/main" id="{00000000-0008-0000-06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58270</xdr:colOff>
      <xdr:row>211</xdr:row>
      <xdr:rowOff>154641</xdr:rowOff>
    </xdr:from>
    <xdr:to>
      <xdr:col>7</xdr:col>
      <xdr:colOff>11206</xdr:colOff>
      <xdr:row>243</xdr:row>
      <xdr:rowOff>112059</xdr:rowOff>
    </xdr:to>
    <xdr:graphicFrame macro="">
      <xdr:nvGraphicFramePr>
        <xdr:cNvPr id="8" name="Diagram 7">
          <a:extLst>
            <a:ext uri="{FF2B5EF4-FFF2-40B4-BE49-F238E27FC236}">
              <a16:creationId xmlns:a16="http://schemas.microsoft.com/office/drawing/2014/main" id="{00000000-0008-0000-06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19049</xdr:colOff>
      <xdr:row>0</xdr:row>
      <xdr:rowOff>19051</xdr:rowOff>
    </xdr:from>
    <xdr:to>
      <xdr:col>9</xdr:col>
      <xdr:colOff>0</xdr:colOff>
      <xdr:row>20</xdr:row>
      <xdr:rowOff>1</xdr:rowOff>
    </xdr:to>
    <xdr:graphicFrame macro="">
      <xdr:nvGraphicFramePr>
        <xdr:cNvPr id="12" name="Diagram 11">
          <a:extLst>
            <a:ext uri="{FF2B5EF4-FFF2-40B4-BE49-F238E27FC236}">
              <a16:creationId xmlns:a16="http://schemas.microsoft.com/office/drawing/2014/main" id="{00000000-0008-0000-08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28574</xdr:colOff>
      <xdr:row>20</xdr:row>
      <xdr:rowOff>76200</xdr:rowOff>
    </xdr:from>
    <xdr:to>
      <xdr:col>9</xdr:col>
      <xdr:colOff>9525</xdr:colOff>
      <xdr:row>41</xdr:row>
      <xdr:rowOff>0</xdr:rowOff>
    </xdr:to>
    <xdr:graphicFrame macro="">
      <xdr:nvGraphicFramePr>
        <xdr:cNvPr id="5" name="Diagram 4">
          <a:extLst>
            <a:ext uri="{FF2B5EF4-FFF2-40B4-BE49-F238E27FC236}">
              <a16:creationId xmlns:a16="http://schemas.microsoft.com/office/drawing/2014/main" id="{00000000-0008-0000-08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38101</xdr:colOff>
      <xdr:row>47</xdr:row>
      <xdr:rowOff>28575</xdr:rowOff>
    </xdr:from>
    <xdr:to>
      <xdr:col>8</xdr:col>
      <xdr:colOff>600075</xdr:colOff>
      <xdr:row>60</xdr:row>
      <xdr:rowOff>123825</xdr:rowOff>
    </xdr:to>
    <xdr:graphicFrame macro="">
      <xdr:nvGraphicFramePr>
        <xdr:cNvPr id="6" name="Diagram 5">
          <a:extLst>
            <a:ext uri="{FF2B5EF4-FFF2-40B4-BE49-F238E27FC236}">
              <a16:creationId xmlns:a16="http://schemas.microsoft.com/office/drawing/2014/main" id="{00000000-0008-0000-08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57150</xdr:colOff>
      <xdr:row>0</xdr:row>
      <xdr:rowOff>19051</xdr:rowOff>
    </xdr:from>
    <xdr:to>
      <xdr:col>19</xdr:col>
      <xdr:colOff>28575</xdr:colOff>
      <xdr:row>20</xdr:row>
      <xdr:rowOff>19051</xdr:rowOff>
    </xdr:to>
    <xdr:graphicFrame macro="">
      <xdr:nvGraphicFramePr>
        <xdr:cNvPr id="7" name="Diagram 6">
          <a:extLst>
            <a:ext uri="{FF2B5EF4-FFF2-40B4-BE49-F238E27FC236}">
              <a16:creationId xmlns:a16="http://schemas.microsoft.com/office/drawing/2014/main" id="{00000000-0008-0000-08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xdr:col>
      <xdr:colOff>66675</xdr:colOff>
      <xdr:row>20</xdr:row>
      <xdr:rowOff>85725</xdr:rowOff>
    </xdr:from>
    <xdr:to>
      <xdr:col>19</xdr:col>
      <xdr:colOff>38100</xdr:colOff>
      <xdr:row>41</xdr:row>
      <xdr:rowOff>9525</xdr:rowOff>
    </xdr:to>
    <xdr:graphicFrame macro="">
      <xdr:nvGraphicFramePr>
        <xdr:cNvPr id="8" name="Diagram 7">
          <a:extLst>
            <a:ext uri="{FF2B5EF4-FFF2-40B4-BE49-F238E27FC236}">
              <a16:creationId xmlns:a16="http://schemas.microsoft.com/office/drawing/2014/main" id="{00000000-0008-0000-08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13</xdr:col>
      <xdr:colOff>542925</xdr:colOff>
      <xdr:row>24</xdr:row>
      <xdr:rowOff>19050</xdr:rowOff>
    </xdr:to>
    <xdr:graphicFrame macro="">
      <xdr:nvGraphicFramePr>
        <xdr:cNvPr id="4" name="Diagram 3">
          <a:extLst>
            <a:ext uri="{FF2B5EF4-FFF2-40B4-BE49-F238E27FC236}">
              <a16:creationId xmlns:a16="http://schemas.microsoft.com/office/drawing/2014/main" id="{00000000-0008-0000-09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13</xdr:col>
      <xdr:colOff>542925</xdr:colOff>
      <xdr:row>24</xdr:row>
      <xdr:rowOff>19050</xdr:rowOff>
    </xdr:to>
    <xdr:graphicFrame macro="">
      <xdr:nvGraphicFramePr>
        <xdr:cNvPr id="2" name="Diagram 1">
          <a:extLst>
            <a:ext uri="{FF2B5EF4-FFF2-40B4-BE49-F238E27FC236}">
              <a16:creationId xmlns:a16="http://schemas.microsoft.com/office/drawing/2014/main" id="{00000000-0008-0000-0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13</xdr:col>
      <xdr:colOff>0</xdr:colOff>
      <xdr:row>23</xdr:row>
      <xdr:rowOff>161925</xdr:rowOff>
    </xdr:to>
    <xdr:graphicFrame macro="">
      <xdr:nvGraphicFramePr>
        <xdr:cNvPr id="2" name="Diagram 1" title="Kalvvikter i kg">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0</xdr:rowOff>
    </xdr:from>
    <xdr:to>
      <xdr:col>14</xdr:col>
      <xdr:colOff>9525</xdr:colOff>
      <xdr:row>25</xdr:row>
      <xdr:rowOff>142875</xdr:rowOff>
    </xdr:to>
    <xdr:graphicFrame macro="">
      <xdr:nvGraphicFramePr>
        <xdr:cNvPr id="4" name="Diagram 3">
          <a:extLst>
            <a:ext uri="{FF2B5EF4-FFF2-40B4-BE49-F238E27FC236}">
              <a16:creationId xmlns:a16="http://schemas.microsoft.com/office/drawing/2014/main" id="{00000000-0008-0000-0C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9525</xdr:colOff>
          <xdr:row>2</xdr:row>
          <xdr:rowOff>9525</xdr:rowOff>
        </xdr:from>
        <xdr:to>
          <xdr:col>3</xdr:col>
          <xdr:colOff>600075</xdr:colOff>
          <xdr:row>3</xdr:row>
          <xdr:rowOff>38100</xdr:rowOff>
        </xdr:to>
        <xdr:sp macro="" textlink="">
          <xdr:nvSpPr>
            <xdr:cNvPr id="12289" name="Check Box 1" hidden="1">
              <a:extLst>
                <a:ext uri="{63B3BB69-23CF-44E3-9099-C40C66FF867C}">
                  <a14:compatExt spid="_x0000_s12289"/>
                </a:ext>
                <a:ext uri="{FF2B5EF4-FFF2-40B4-BE49-F238E27FC236}">
                  <a16:creationId xmlns:a16="http://schemas.microsoft.com/office/drawing/2014/main" id="{00000000-0008-0000-0D00-00000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3</xdr:row>
          <xdr:rowOff>9525</xdr:rowOff>
        </xdr:from>
        <xdr:to>
          <xdr:col>3</xdr:col>
          <xdr:colOff>600075</xdr:colOff>
          <xdr:row>4</xdr:row>
          <xdr:rowOff>38100</xdr:rowOff>
        </xdr:to>
        <xdr:sp macro="" textlink="">
          <xdr:nvSpPr>
            <xdr:cNvPr id="12290" name="Check Box 2" hidden="1">
              <a:extLst>
                <a:ext uri="{63B3BB69-23CF-44E3-9099-C40C66FF867C}">
                  <a14:compatExt spid="_x0000_s12290"/>
                </a:ext>
                <a:ext uri="{FF2B5EF4-FFF2-40B4-BE49-F238E27FC236}">
                  <a16:creationId xmlns:a16="http://schemas.microsoft.com/office/drawing/2014/main" id="{00000000-0008-0000-0D00-00000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4</xdr:row>
          <xdr:rowOff>9525</xdr:rowOff>
        </xdr:from>
        <xdr:to>
          <xdr:col>3</xdr:col>
          <xdr:colOff>600075</xdr:colOff>
          <xdr:row>5</xdr:row>
          <xdr:rowOff>38100</xdr:rowOff>
        </xdr:to>
        <xdr:sp macro="" textlink="">
          <xdr:nvSpPr>
            <xdr:cNvPr id="12291" name="Check Box 3" hidden="1">
              <a:extLst>
                <a:ext uri="{63B3BB69-23CF-44E3-9099-C40C66FF867C}">
                  <a14:compatExt spid="_x0000_s12291"/>
                </a:ext>
                <a:ext uri="{FF2B5EF4-FFF2-40B4-BE49-F238E27FC236}">
                  <a16:creationId xmlns:a16="http://schemas.microsoft.com/office/drawing/2014/main" id="{00000000-0008-0000-0D00-00000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5</xdr:row>
          <xdr:rowOff>9525</xdr:rowOff>
        </xdr:from>
        <xdr:to>
          <xdr:col>3</xdr:col>
          <xdr:colOff>600075</xdr:colOff>
          <xdr:row>6</xdr:row>
          <xdr:rowOff>38100</xdr:rowOff>
        </xdr:to>
        <xdr:sp macro="" textlink="">
          <xdr:nvSpPr>
            <xdr:cNvPr id="12292" name="Check Box 4" hidden="1">
              <a:extLst>
                <a:ext uri="{63B3BB69-23CF-44E3-9099-C40C66FF867C}">
                  <a14:compatExt spid="_x0000_s12292"/>
                </a:ext>
                <a:ext uri="{FF2B5EF4-FFF2-40B4-BE49-F238E27FC236}">
                  <a16:creationId xmlns:a16="http://schemas.microsoft.com/office/drawing/2014/main" id="{00000000-0008-0000-0D00-00000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6</xdr:row>
          <xdr:rowOff>9525</xdr:rowOff>
        </xdr:from>
        <xdr:to>
          <xdr:col>3</xdr:col>
          <xdr:colOff>600075</xdr:colOff>
          <xdr:row>7</xdr:row>
          <xdr:rowOff>38100</xdr:rowOff>
        </xdr:to>
        <xdr:sp macro="" textlink="">
          <xdr:nvSpPr>
            <xdr:cNvPr id="12293" name="Check Box 5" hidden="1">
              <a:extLst>
                <a:ext uri="{63B3BB69-23CF-44E3-9099-C40C66FF867C}">
                  <a14:compatExt spid="_x0000_s12293"/>
                </a:ext>
                <a:ext uri="{FF2B5EF4-FFF2-40B4-BE49-F238E27FC236}">
                  <a16:creationId xmlns:a16="http://schemas.microsoft.com/office/drawing/2014/main" id="{00000000-0008-0000-0D00-00000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7</xdr:row>
          <xdr:rowOff>9525</xdr:rowOff>
        </xdr:from>
        <xdr:to>
          <xdr:col>3</xdr:col>
          <xdr:colOff>600075</xdr:colOff>
          <xdr:row>8</xdr:row>
          <xdr:rowOff>38100</xdr:rowOff>
        </xdr:to>
        <xdr:sp macro="" textlink="">
          <xdr:nvSpPr>
            <xdr:cNvPr id="12294" name="Check Box 6" hidden="1">
              <a:extLst>
                <a:ext uri="{63B3BB69-23CF-44E3-9099-C40C66FF867C}">
                  <a14:compatExt spid="_x0000_s12294"/>
                </a:ext>
                <a:ext uri="{FF2B5EF4-FFF2-40B4-BE49-F238E27FC236}">
                  <a16:creationId xmlns:a16="http://schemas.microsoft.com/office/drawing/2014/main" id="{00000000-0008-0000-0D00-00000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8</xdr:row>
          <xdr:rowOff>9525</xdr:rowOff>
        </xdr:from>
        <xdr:to>
          <xdr:col>3</xdr:col>
          <xdr:colOff>600075</xdr:colOff>
          <xdr:row>9</xdr:row>
          <xdr:rowOff>38100</xdr:rowOff>
        </xdr:to>
        <xdr:sp macro="" textlink="">
          <xdr:nvSpPr>
            <xdr:cNvPr id="12295" name="Check Box 7" hidden="1">
              <a:extLst>
                <a:ext uri="{63B3BB69-23CF-44E3-9099-C40C66FF867C}">
                  <a14:compatExt spid="_x0000_s12295"/>
                </a:ext>
                <a:ext uri="{FF2B5EF4-FFF2-40B4-BE49-F238E27FC236}">
                  <a16:creationId xmlns:a16="http://schemas.microsoft.com/office/drawing/2014/main" id="{00000000-0008-0000-0D00-00000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8</xdr:row>
          <xdr:rowOff>9525</xdr:rowOff>
        </xdr:from>
        <xdr:to>
          <xdr:col>3</xdr:col>
          <xdr:colOff>600075</xdr:colOff>
          <xdr:row>9</xdr:row>
          <xdr:rowOff>38100</xdr:rowOff>
        </xdr:to>
        <xdr:sp macro="" textlink="">
          <xdr:nvSpPr>
            <xdr:cNvPr id="12296" name="Check Box 8" hidden="1">
              <a:extLst>
                <a:ext uri="{63B3BB69-23CF-44E3-9099-C40C66FF867C}">
                  <a14:compatExt spid="_x0000_s12296"/>
                </a:ext>
                <a:ext uri="{FF2B5EF4-FFF2-40B4-BE49-F238E27FC236}">
                  <a16:creationId xmlns:a16="http://schemas.microsoft.com/office/drawing/2014/main" id="{00000000-0008-0000-0D00-00000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9</xdr:row>
          <xdr:rowOff>9525</xdr:rowOff>
        </xdr:from>
        <xdr:to>
          <xdr:col>3</xdr:col>
          <xdr:colOff>600075</xdr:colOff>
          <xdr:row>10</xdr:row>
          <xdr:rowOff>38100</xdr:rowOff>
        </xdr:to>
        <xdr:sp macro="" textlink="">
          <xdr:nvSpPr>
            <xdr:cNvPr id="12297" name="Check Box 9" hidden="1">
              <a:extLst>
                <a:ext uri="{63B3BB69-23CF-44E3-9099-C40C66FF867C}">
                  <a14:compatExt spid="_x0000_s12297"/>
                </a:ext>
                <a:ext uri="{FF2B5EF4-FFF2-40B4-BE49-F238E27FC236}">
                  <a16:creationId xmlns:a16="http://schemas.microsoft.com/office/drawing/2014/main" id="{00000000-0008-0000-0D00-00000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9</xdr:row>
          <xdr:rowOff>9525</xdr:rowOff>
        </xdr:from>
        <xdr:to>
          <xdr:col>3</xdr:col>
          <xdr:colOff>600075</xdr:colOff>
          <xdr:row>10</xdr:row>
          <xdr:rowOff>38100</xdr:rowOff>
        </xdr:to>
        <xdr:sp macro="" textlink="">
          <xdr:nvSpPr>
            <xdr:cNvPr id="12298" name="Check Box 10" hidden="1">
              <a:extLst>
                <a:ext uri="{63B3BB69-23CF-44E3-9099-C40C66FF867C}">
                  <a14:compatExt spid="_x0000_s12298"/>
                </a:ext>
                <a:ext uri="{FF2B5EF4-FFF2-40B4-BE49-F238E27FC236}">
                  <a16:creationId xmlns:a16="http://schemas.microsoft.com/office/drawing/2014/main" id="{00000000-0008-0000-0D00-00000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10</xdr:row>
          <xdr:rowOff>9525</xdr:rowOff>
        </xdr:from>
        <xdr:to>
          <xdr:col>3</xdr:col>
          <xdr:colOff>600075</xdr:colOff>
          <xdr:row>11</xdr:row>
          <xdr:rowOff>38100</xdr:rowOff>
        </xdr:to>
        <xdr:sp macro="" textlink="">
          <xdr:nvSpPr>
            <xdr:cNvPr id="12299" name="Check Box 11" hidden="1">
              <a:extLst>
                <a:ext uri="{63B3BB69-23CF-44E3-9099-C40C66FF867C}">
                  <a14:compatExt spid="_x0000_s12299"/>
                </a:ext>
                <a:ext uri="{FF2B5EF4-FFF2-40B4-BE49-F238E27FC236}">
                  <a16:creationId xmlns:a16="http://schemas.microsoft.com/office/drawing/2014/main" id="{00000000-0008-0000-0D00-00000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10</xdr:row>
          <xdr:rowOff>9525</xdr:rowOff>
        </xdr:from>
        <xdr:to>
          <xdr:col>3</xdr:col>
          <xdr:colOff>600075</xdr:colOff>
          <xdr:row>11</xdr:row>
          <xdr:rowOff>38100</xdr:rowOff>
        </xdr:to>
        <xdr:sp macro="" textlink="">
          <xdr:nvSpPr>
            <xdr:cNvPr id="12300" name="Check Box 12" hidden="1">
              <a:extLst>
                <a:ext uri="{63B3BB69-23CF-44E3-9099-C40C66FF867C}">
                  <a14:compatExt spid="_x0000_s12300"/>
                </a:ext>
                <a:ext uri="{FF2B5EF4-FFF2-40B4-BE49-F238E27FC236}">
                  <a16:creationId xmlns:a16="http://schemas.microsoft.com/office/drawing/2014/main" id="{00000000-0008-0000-0D00-00000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10</xdr:row>
          <xdr:rowOff>9525</xdr:rowOff>
        </xdr:from>
        <xdr:to>
          <xdr:col>3</xdr:col>
          <xdr:colOff>600075</xdr:colOff>
          <xdr:row>11</xdr:row>
          <xdr:rowOff>38100</xdr:rowOff>
        </xdr:to>
        <xdr:sp macro="" textlink="">
          <xdr:nvSpPr>
            <xdr:cNvPr id="12301" name="Check Box 13" hidden="1">
              <a:extLst>
                <a:ext uri="{63B3BB69-23CF-44E3-9099-C40C66FF867C}">
                  <a14:compatExt spid="_x0000_s12301"/>
                </a:ext>
                <a:ext uri="{FF2B5EF4-FFF2-40B4-BE49-F238E27FC236}">
                  <a16:creationId xmlns:a16="http://schemas.microsoft.com/office/drawing/2014/main" id="{00000000-0008-0000-0D00-00000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11</xdr:row>
          <xdr:rowOff>9525</xdr:rowOff>
        </xdr:from>
        <xdr:to>
          <xdr:col>3</xdr:col>
          <xdr:colOff>600075</xdr:colOff>
          <xdr:row>12</xdr:row>
          <xdr:rowOff>28575</xdr:rowOff>
        </xdr:to>
        <xdr:sp macro="" textlink="">
          <xdr:nvSpPr>
            <xdr:cNvPr id="12302" name="Check Box 14" hidden="1">
              <a:extLst>
                <a:ext uri="{63B3BB69-23CF-44E3-9099-C40C66FF867C}">
                  <a14:compatExt spid="_x0000_s12302"/>
                </a:ext>
                <a:ext uri="{FF2B5EF4-FFF2-40B4-BE49-F238E27FC236}">
                  <a16:creationId xmlns:a16="http://schemas.microsoft.com/office/drawing/2014/main" id="{00000000-0008-0000-0D00-00000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11</xdr:row>
          <xdr:rowOff>9525</xdr:rowOff>
        </xdr:from>
        <xdr:to>
          <xdr:col>3</xdr:col>
          <xdr:colOff>600075</xdr:colOff>
          <xdr:row>12</xdr:row>
          <xdr:rowOff>28575</xdr:rowOff>
        </xdr:to>
        <xdr:sp macro="" textlink="">
          <xdr:nvSpPr>
            <xdr:cNvPr id="12303" name="Check Box 15" hidden="1">
              <a:extLst>
                <a:ext uri="{63B3BB69-23CF-44E3-9099-C40C66FF867C}">
                  <a14:compatExt spid="_x0000_s12303"/>
                </a:ext>
                <a:ext uri="{FF2B5EF4-FFF2-40B4-BE49-F238E27FC236}">
                  <a16:creationId xmlns:a16="http://schemas.microsoft.com/office/drawing/2014/main" id="{00000000-0008-0000-0D00-00000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26</xdr:row>
          <xdr:rowOff>9525</xdr:rowOff>
        </xdr:from>
        <xdr:to>
          <xdr:col>3</xdr:col>
          <xdr:colOff>600075</xdr:colOff>
          <xdr:row>27</xdr:row>
          <xdr:rowOff>38100</xdr:rowOff>
        </xdr:to>
        <xdr:sp macro="" textlink="">
          <xdr:nvSpPr>
            <xdr:cNvPr id="12304" name="Check Box 16" hidden="1">
              <a:extLst>
                <a:ext uri="{63B3BB69-23CF-44E3-9099-C40C66FF867C}">
                  <a14:compatExt spid="_x0000_s12304"/>
                </a:ext>
                <a:ext uri="{FF2B5EF4-FFF2-40B4-BE49-F238E27FC236}">
                  <a16:creationId xmlns:a16="http://schemas.microsoft.com/office/drawing/2014/main" id="{00000000-0008-0000-0D00-00001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27</xdr:row>
          <xdr:rowOff>9525</xdr:rowOff>
        </xdr:from>
        <xdr:to>
          <xdr:col>3</xdr:col>
          <xdr:colOff>600075</xdr:colOff>
          <xdr:row>28</xdr:row>
          <xdr:rowOff>38100</xdr:rowOff>
        </xdr:to>
        <xdr:sp macro="" textlink="">
          <xdr:nvSpPr>
            <xdr:cNvPr id="12305" name="Check Box 17" hidden="1">
              <a:extLst>
                <a:ext uri="{63B3BB69-23CF-44E3-9099-C40C66FF867C}">
                  <a14:compatExt spid="_x0000_s12305"/>
                </a:ext>
                <a:ext uri="{FF2B5EF4-FFF2-40B4-BE49-F238E27FC236}">
                  <a16:creationId xmlns:a16="http://schemas.microsoft.com/office/drawing/2014/main" id="{00000000-0008-0000-0D00-00001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28</xdr:row>
          <xdr:rowOff>9525</xdr:rowOff>
        </xdr:from>
        <xdr:to>
          <xdr:col>3</xdr:col>
          <xdr:colOff>600075</xdr:colOff>
          <xdr:row>29</xdr:row>
          <xdr:rowOff>38100</xdr:rowOff>
        </xdr:to>
        <xdr:sp macro="" textlink="">
          <xdr:nvSpPr>
            <xdr:cNvPr id="12306" name="Check Box 18" hidden="1">
              <a:extLst>
                <a:ext uri="{63B3BB69-23CF-44E3-9099-C40C66FF867C}">
                  <a14:compatExt spid="_x0000_s12306"/>
                </a:ext>
                <a:ext uri="{FF2B5EF4-FFF2-40B4-BE49-F238E27FC236}">
                  <a16:creationId xmlns:a16="http://schemas.microsoft.com/office/drawing/2014/main" id="{00000000-0008-0000-0D00-00001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29</xdr:row>
          <xdr:rowOff>9525</xdr:rowOff>
        </xdr:from>
        <xdr:to>
          <xdr:col>3</xdr:col>
          <xdr:colOff>600075</xdr:colOff>
          <xdr:row>30</xdr:row>
          <xdr:rowOff>38100</xdr:rowOff>
        </xdr:to>
        <xdr:sp macro="" textlink="">
          <xdr:nvSpPr>
            <xdr:cNvPr id="12307" name="Check Box 19" hidden="1">
              <a:extLst>
                <a:ext uri="{63B3BB69-23CF-44E3-9099-C40C66FF867C}">
                  <a14:compatExt spid="_x0000_s12307"/>
                </a:ext>
                <a:ext uri="{FF2B5EF4-FFF2-40B4-BE49-F238E27FC236}">
                  <a16:creationId xmlns:a16="http://schemas.microsoft.com/office/drawing/2014/main" id="{00000000-0008-0000-0D00-00001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30</xdr:row>
          <xdr:rowOff>9525</xdr:rowOff>
        </xdr:from>
        <xdr:to>
          <xdr:col>3</xdr:col>
          <xdr:colOff>600075</xdr:colOff>
          <xdr:row>31</xdr:row>
          <xdr:rowOff>38100</xdr:rowOff>
        </xdr:to>
        <xdr:sp macro="" textlink="">
          <xdr:nvSpPr>
            <xdr:cNvPr id="12308" name="Check Box 20" hidden="1">
              <a:extLst>
                <a:ext uri="{63B3BB69-23CF-44E3-9099-C40C66FF867C}">
                  <a14:compatExt spid="_x0000_s12308"/>
                </a:ext>
                <a:ext uri="{FF2B5EF4-FFF2-40B4-BE49-F238E27FC236}">
                  <a16:creationId xmlns:a16="http://schemas.microsoft.com/office/drawing/2014/main" id="{00000000-0008-0000-0D00-00001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31</xdr:row>
          <xdr:rowOff>9525</xdr:rowOff>
        </xdr:from>
        <xdr:to>
          <xdr:col>3</xdr:col>
          <xdr:colOff>600075</xdr:colOff>
          <xdr:row>32</xdr:row>
          <xdr:rowOff>38100</xdr:rowOff>
        </xdr:to>
        <xdr:sp macro="" textlink="">
          <xdr:nvSpPr>
            <xdr:cNvPr id="12309" name="Check Box 21" hidden="1">
              <a:extLst>
                <a:ext uri="{63B3BB69-23CF-44E3-9099-C40C66FF867C}">
                  <a14:compatExt spid="_x0000_s12309"/>
                </a:ext>
                <a:ext uri="{FF2B5EF4-FFF2-40B4-BE49-F238E27FC236}">
                  <a16:creationId xmlns:a16="http://schemas.microsoft.com/office/drawing/2014/main" id="{00000000-0008-0000-0D00-00001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32</xdr:row>
          <xdr:rowOff>9525</xdr:rowOff>
        </xdr:from>
        <xdr:to>
          <xdr:col>3</xdr:col>
          <xdr:colOff>600075</xdr:colOff>
          <xdr:row>33</xdr:row>
          <xdr:rowOff>38100</xdr:rowOff>
        </xdr:to>
        <xdr:sp macro="" textlink="">
          <xdr:nvSpPr>
            <xdr:cNvPr id="12310" name="Check Box 22" hidden="1">
              <a:extLst>
                <a:ext uri="{63B3BB69-23CF-44E3-9099-C40C66FF867C}">
                  <a14:compatExt spid="_x0000_s12310"/>
                </a:ext>
                <a:ext uri="{FF2B5EF4-FFF2-40B4-BE49-F238E27FC236}">
                  <a16:creationId xmlns:a16="http://schemas.microsoft.com/office/drawing/2014/main" id="{00000000-0008-0000-0D00-00001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32</xdr:row>
          <xdr:rowOff>9525</xdr:rowOff>
        </xdr:from>
        <xdr:to>
          <xdr:col>3</xdr:col>
          <xdr:colOff>600075</xdr:colOff>
          <xdr:row>33</xdr:row>
          <xdr:rowOff>38100</xdr:rowOff>
        </xdr:to>
        <xdr:sp macro="" textlink="">
          <xdr:nvSpPr>
            <xdr:cNvPr id="12311" name="Check Box 23" hidden="1">
              <a:extLst>
                <a:ext uri="{63B3BB69-23CF-44E3-9099-C40C66FF867C}">
                  <a14:compatExt spid="_x0000_s12311"/>
                </a:ext>
                <a:ext uri="{FF2B5EF4-FFF2-40B4-BE49-F238E27FC236}">
                  <a16:creationId xmlns:a16="http://schemas.microsoft.com/office/drawing/2014/main" id="{00000000-0008-0000-0D00-00001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33</xdr:row>
          <xdr:rowOff>9525</xdr:rowOff>
        </xdr:from>
        <xdr:to>
          <xdr:col>3</xdr:col>
          <xdr:colOff>600075</xdr:colOff>
          <xdr:row>34</xdr:row>
          <xdr:rowOff>38100</xdr:rowOff>
        </xdr:to>
        <xdr:sp macro="" textlink="">
          <xdr:nvSpPr>
            <xdr:cNvPr id="12312" name="Check Box 24" hidden="1">
              <a:extLst>
                <a:ext uri="{63B3BB69-23CF-44E3-9099-C40C66FF867C}">
                  <a14:compatExt spid="_x0000_s12312"/>
                </a:ext>
                <a:ext uri="{FF2B5EF4-FFF2-40B4-BE49-F238E27FC236}">
                  <a16:creationId xmlns:a16="http://schemas.microsoft.com/office/drawing/2014/main" id="{00000000-0008-0000-0D00-00001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33</xdr:row>
          <xdr:rowOff>9525</xdr:rowOff>
        </xdr:from>
        <xdr:to>
          <xdr:col>3</xdr:col>
          <xdr:colOff>600075</xdr:colOff>
          <xdr:row>34</xdr:row>
          <xdr:rowOff>38100</xdr:rowOff>
        </xdr:to>
        <xdr:sp macro="" textlink="">
          <xdr:nvSpPr>
            <xdr:cNvPr id="12313" name="Check Box 25" hidden="1">
              <a:extLst>
                <a:ext uri="{63B3BB69-23CF-44E3-9099-C40C66FF867C}">
                  <a14:compatExt spid="_x0000_s12313"/>
                </a:ext>
                <a:ext uri="{FF2B5EF4-FFF2-40B4-BE49-F238E27FC236}">
                  <a16:creationId xmlns:a16="http://schemas.microsoft.com/office/drawing/2014/main" id="{00000000-0008-0000-0D00-00001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34</xdr:row>
          <xdr:rowOff>9525</xdr:rowOff>
        </xdr:from>
        <xdr:to>
          <xdr:col>3</xdr:col>
          <xdr:colOff>600075</xdr:colOff>
          <xdr:row>35</xdr:row>
          <xdr:rowOff>38100</xdr:rowOff>
        </xdr:to>
        <xdr:sp macro="" textlink="">
          <xdr:nvSpPr>
            <xdr:cNvPr id="12314" name="Check Box 26" hidden="1">
              <a:extLst>
                <a:ext uri="{63B3BB69-23CF-44E3-9099-C40C66FF867C}">
                  <a14:compatExt spid="_x0000_s12314"/>
                </a:ext>
                <a:ext uri="{FF2B5EF4-FFF2-40B4-BE49-F238E27FC236}">
                  <a16:creationId xmlns:a16="http://schemas.microsoft.com/office/drawing/2014/main" id="{00000000-0008-0000-0D00-00001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34</xdr:row>
          <xdr:rowOff>9525</xdr:rowOff>
        </xdr:from>
        <xdr:to>
          <xdr:col>3</xdr:col>
          <xdr:colOff>600075</xdr:colOff>
          <xdr:row>35</xdr:row>
          <xdr:rowOff>38100</xdr:rowOff>
        </xdr:to>
        <xdr:sp macro="" textlink="">
          <xdr:nvSpPr>
            <xdr:cNvPr id="12315" name="Check Box 27" hidden="1">
              <a:extLst>
                <a:ext uri="{63B3BB69-23CF-44E3-9099-C40C66FF867C}">
                  <a14:compatExt spid="_x0000_s12315"/>
                </a:ext>
                <a:ext uri="{FF2B5EF4-FFF2-40B4-BE49-F238E27FC236}">
                  <a16:creationId xmlns:a16="http://schemas.microsoft.com/office/drawing/2014/main" id="{00000000-0008-0000-0D00-00001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34</xdr:row>
          <xdr:rowOff>9525</xdr:rowOff>
        </xdr:from>
        <xdr:to>
          <xdr:col>3</xdr:col>
          <xdr:colOff>600075</xdr:colOff>
          <xdr:row>35</xdr:row>
          <xdr:rowOff>38100</xdr:rowOff>
        </xdr:to>
        <xdr:sp macro="" textlink="">
          <xdr:nvSpPr>
            <xdr:cNvPr id="12316" name="Check Box 28" hidden="1">
              <a:extLst>
                <a:ext uri="{63B3BB69-23CF-44E3-9099-C40C66FF867C}">
                  <a14:compatExt spid="_x0000_s12316"/>
                </a:ext>
                <a:ext uri="{FF2B5EF4-FFF2-40B4-BE49-F238E27FC236}">
                  <a16:creationId xmlns:a16="http://schemas.microsoft.com/office/drawing/2014/main" id="{00000000-0008-0000-0D00-00001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35</xdr:row>
          <xdr:rowOff>9525</xdr:rowOff>
        </xdr:from>
        <xdr:to>
          <xdr:col>3</xdr:col>
          <xdr:colOff>600075</xdr:colOff>
          <xdr:row>36</xdr:row>
          <xdr:rowOff>28575</xdr:rowOff>
        </xdr:to>
        <xdr:sp macro="" textlink="">
          <xdr:nvSpPr>
            <xdr:cNvPr id="12317" name="Check Box 29" hidden="1">
              <a:extLst>
                <a:ext uri="{63B3BB69-23CF-44E3-9099-C40C66FF867C}">
                  <a14:compatExt spid="_x0000_s12317"/>
                </a:ext>
                <a:ext uri="{FF2B5EF4-FFF2-40B4-BE49-F238E27FC236}">
                  <a16:creationId xmlns:a16="http://schemas.microsoft.com/office/drawing/2014/main" id="{00000000-0008-0000-0D00-00001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35</xdr:row>
          <xdr:rowOff>9525</xdr:rowOff>
        </xdr:from>
        <xdr:to>
          <xdr:col>3</xdr:col>
          <xdr:colOff>600075</xdr:colOff>
          <xdr:row>36</xdr:row>
          <xdr:rowOff>28575</xdr:rowOff>
        </xdr:to>
        <xdr:sp macro="" textlink="">
          <xdr:nvSpPr>
            <xdr:cNvPr id="12318" name="Check Box 30" hidden="1">
              <a:extLst>
                <a:ext uri="{63B3BB69-23CF-44E3-9099-C40C66FF867C}">
                  <a14:compatExt spid="_x0000_s12318"/>
                </a:ext>
                <a:ext uri="{FF2B5EF4-FFF2-40B4-BE49-F238E27FC236}">
                  <a16:creationId xmlns:a16="http://schemas.microsoft.com/office/drawing/2014/main" id="{00000000-0008-0000-0D00-00001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50</xdr:row>
          <xdr:rowOff>9525</xdr:rowOff>
        </xdr:from>
        <xdr:to>
          <xdr:col>3</xdr:col>
          <xdr:colOff>600075</xdr:colOff>
          <xdr:row>51</xdr:row>
          <xdr:rowOff>38100</xdr:rowOff>
        </xdr:to>
        <xdr:sp macro="" textlink="">
          <xdr:nvSpPr>
            <xdr:cNvPr id="12319" name="Check Box 31" hidden="1">
              <a:extLst>
                <a:ext uri="{63B3BB69-23CF-44E3-9099-C40C66FF867C}">
                  <a14:compatExt spid="_x0000_s12319"/>
                </a:ext>
                <a:ext uri="{FF2B5EF4-FFF2-40B4-BE49-F238E27FC236}">
                  <a16:creationId xmlns:a16="http://schemas.microsoft.com/office/drawing/2014/main" id="{00000000-0008-0000-0D00-00001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51</xdr:row>
          <xdr:rowOff>9525</xdr:rowOff>
        </xdr:from>
        <xdr:to>
          <xdr:col>3</xdr:col>
          <xdr:colOff>600075</xdr:colOff>
          <xdr:row>52</xdr:row>
          <xdr:rowOff>38100</xdr:rowOff>
        </xdr:to>
        <xdr:sp macro="" textlink="">
          <xdr:nvSpPr>
            <xdr:cNvPr id="12320" name="Check Box 32" hidden="1">
              <a:extLst>
                <a:ext uri="{63B3BB69-23CF-44E3-9099-C40C66FF867C}">
                  <a14:compatExt spid="_x0000_s12320"/>
                </a:ext>
                <a:ext uri="{FF2B5EF4-FFF2-40B4-BE49-F238E27FC236}">
                  <a16:creationId xmlns:a16="http://schemas.microsoft.com/office/drawing/2014/main" id="{00000000-0008-0000-0D00-00002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52</xdr:row>
          <xdr:rowOff>9525</xdr:rowOff>
        </xdr:from>
        <xdr:to>
          <xdr:col>3</xdr:col>
          <xdr:colOff>600075</xdr:colOff>
          <xdr:row>53</xdr:row>
          <xdr:rowOff>38100</xdr:rowOff>
        </xdr:to>
        <xdr:sp macro="" textlink="">
          <xdr:nvSpPr>
            <xdr:cNvPr id="12321" name="Check Box 33" hidden="1">
              <a:extLst>
                <a:ext uri="{63B3BB69-23CF-44E3-9099-C40C66FF867C}">
                  <a14:compatExt spid="_x0000_s12321"/>
                </a:ext>
                <a:ext uri="{FF2B5EF4-FFF2-40B4-BE49-F238E27FC236}">
                  <a16:creationId xmlns:a16="http://schemas.microsoft.com/office/drawing/2014/main" id="{00000000-0008-0000-0D00-00002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53</xdr:row>
          <xdr:rowOff>9525</xdr:rowOff>
        </xdr:from>
        <xdr:to>
          <xdr:col>3</xdr:col>
          <xdr:colOff>600075</xdr:colOff>
          <xdr:row>54</xdr:row>
          <xdr:rowOff>38100</xdr:rowOff>
        </xdr:to>
        <xdr:sp macro="" textlink="">
          <xdr:nvSpPr>
            <xdr:cNvPr id="12322" name="Check Box 34" hidden="1">
              <a:extLst>
                <a:ext uri="{63B3BB69-23CF-44E3-9099-C40C66FF867C}">
                  <a14:compatExt spid="_x0000_s12322"/>
                </a:ext>
                <a:ext uri="{FF2B5EF4-FFF2-40B4-BE49-F238E27FC236}">
                  <a16:creationId xmlns:a16="http://schemas.microsoft.com/office/drawing/2014/main" id="{00000000-0008-0000-0D00-00002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54</xdr:row>
          <xdr:rowOff>9525</xdr:rowOff>
        </xdr:from>
        <xdr:to>
          <xdr:col>3</xdr:col>
          <xdr:colOff>600075</xdr:colOff>
          <xdr:row>55</xdr:row>
          <xdr:rowOff>38100</xdr:rowOff>
        </xdr:to>
        <xdr:sp macro="" textlink="">
          <xdr:nvSpPr>
            <xdr:cNvPr id="12323" name="Check Box 35" hidden="1">
              <a:extLst>
                <a:ext uri="{63B3BB69-23CF-44E3-9099-C40C66FF867C}">
                  <a14:compatExt spid="_x0000_s12323"/>
                </a:ext>
                <a:ext uri="{FF2B5EF4-FFF2-40B4-BE49-F238E27FC236}">
                  <a16:creationId xmlns:a16="http://schemas.microsoft.com/office/drawing/2014/main" id="{00000000-0008-0000-0D00-00002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55</xdr:row>
          <xdr:rowOff>9525</xdr:rowOff>
        </xdr:from>
        <xdr:to>
          <xdr:col>3</xdr:col>
          <xdr:colOff>600075</xdr:colOff>
          <xdr:row>56</xdr:row>
          <xdr:rowOff>38100</xdr:rowOff>
        </xdr:to>
        <xdr:sp macro="" textlink="">
          <xdr:nvSpPr>
            <xdr:cNvPr id="12324" name="Check Box 36" hidden="1">
              <a:extLst>
                <a:ext uri="{63B3BB69-23CF-44E3-9099-C40C66FF867C}">
                  <a14:compatExt spid="_x0000_s12324"/>
                </a:ext>
                <a:ext uri="{FF2B5EF4-FFF2-40B4-BE49-F238E27FC236}">
                  <a16:creationId xmlns:a16="http://schemas.microsoft.com/office/drawing/2014/main" id="{00000000-0008-0000-0D00-00002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56</xdr:row>
          <xdr:rowOff>9525</xdr:rowOff>
        </xdr:from>
        <xdr:to>
          <xdr:col>3</xdr:col>
          <xdr:colOff>600075</xdr:colOff>
          <xdr:row>57</xdr:row>
          <xdr:rowOff>38100</xdr:rowOff>
        </xdr:to>
        <xdr:sp macro="" textlink="">
          <xdr:nvSpPr>
            <xdr:cNvPr id="12325" name="Check Box 37" hidden="1">
              <a:extLst>
                <a:ext uri="{63B3BB69-23CF-44E3-9099-C40C66FF867C}">
                  <a14:compatExt spid="_x0000_s12325"/>
                </a:ext>
                <a:ext uri="{FF2B5EF4-FFF2-40B4-BE49-F238E27FC236}">
                  <a16:creationId xmlns:a16="http://schemas.microsoft.com/office/drawing/2014/main" id="{00000000-0008-0000-0D00-00002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56</xdr:row>
          <xdr:rowOff>9525</xdr:rowOff>
        </xdr:from>
        <xdr:to>
          <xdr:col>3</xdr:col>
          <xdr:colOff>600075</xdr:colOff>
          <xdr:row>57</xdr:row>
          <xdr:rowOff>38100</xdr:rowOff>
        </xdr:to>
        <xdr:sp macro="" textlink="">
          <xdr:nvSpPr>
            <xdr:cNvPr id="12326" name="Check Box 38" hidden="1">
              <a:extLst>
                <a:ext uri="{63B3BB69-23CF-44E3-9099-C40C66FF867C}">
                  <a14:compatExt spid="_x0000_s12326"/>
                </a:ext>
                <a:ext uri="{FF2B5EF4-FFF2-40B4-BE49-F238E27FC236}">
                  <a16:creationId xmlns:a16="http://schemas.microsoft.com/office/drawing/2014/main" id="{00000000-0008-0000-0D00-00002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57</xdr:row>
          <xdr:rowOff>9525</xdr:rowOff>
        </xdr:from>
        <xdr:to>
          <xdr:col>3</xdr:col>
          <xdr:colOff>600075</xdr:colOff>
          <xdr:row>58</xdr:row>
          <xdr:rowOff>38100</xdr:rowOff>
        </xdr:to>
        <xdr:sp macro="" textlink="">
          <xdr:nvSpPr>
            <xdr:cNvPr id="12327" name="Check Box 39" hidden="1">
              <a:extLst>
                <a:ext uri="{63B3BB69-23CF-44E3-9099-C40C66FF867C}">
                  <a14:compatExt spid="_x0000_s12327"/>
                </a:ext>
                <a:ext uri="{FF2B5EF4-FFF2-40B4-BE49-F238E27FC236}">
                  <a16:creationId xmlns:a16="http://schemas.microsoft.com/office/drawing/2014/main" id="{00000000-0008-0000-0D00-00002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57</xdr:row>
          <xdr:rowOff>9525</xdr:rowOff>
        </xdr:from>
        <xdr:to>
          <xdr:col>3</xdr:col>
          <xdr:colOff>600075</xdr:colOff>
          <xdr:row>58</xdr:row>
          <xdr:rowOff>38100</xdr:rowOff>
        </xdr:to>
        <xdr:sp macro="" textlink="">
          <xdr:nvSpPr>
            <xdr:cNvPr id="12328" name="Check Box 40" hidden="1">
              <a:extLst>
                <a:ext uri="{63B3BB69-23CF-44E3-9099-C40C66FF867C}">
                  <a14:compatExt spid="_x0000_s12328"/>
                </a:ext>
                <a:ext uri="{FF2B5EF4-FFF2-40B4-BE49-F238E27FC236}">
                  <a16:creationId xmlns:a16="http://schemas.microsoft.com/office/drawing/2014/main" id="{00000000-0008-0000-0D00-00002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58</xdr:row>
          <xdr:rowOff>9525</xdr:rowOff>
        </xdr:from>
        <xdr:to>
          <xdr:col>3</xdr:col>
          <xdr:colOff>600075</xdr:colOff>
          <xdr:row>59</xdr:row>
          <xdr:rowOff>38100</xdr:rowOff>
        </xdr:to>
        <xdr:sp macro="" textlink="">
          <xdr:nvSpPr>
            <xdr:cNvPr id="12329" name="Check Box 41" hidden="1">
              <a:extLst>
                <a:ext uri="{63B3BB69-23CF-44E3-9099-C40C66FF867C}">
                  <a14:compatExt spid="_x0000_s12329"/>
                </a:ext>
                <a:ext uri="{FF2B5EF4-FFF2-40B4-BE49-F238E27FC236}">
                  <a16:creationId xmlns:a16="http://schemas.microsoft.com/office/drawing/2014/main" id="{00000000-0008-0000-0D00-00002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58</xdr:row>
          <xdr:rowOff>9525</xdr:rowOff>
        </xdr:from>
        <xdr:to>
          <xdr:col>3</xdr:col>
          <xdr:colOff>600075</xdr:colOff>
          <xdr:row>59</xdr:row>
          <xdr:rowOff>38100</xdr:rowOff>
        </xdr:to>
        <xdr:sp macro="" textlink="">
          <xdr:nvSpPr>
            <xdr:cNvPr id="12330" name="Check Box 42" hidden="1">
              <a:extLst>
                <a:ext uri="{63B3BB69-23CF-44E3-9099-C40C66FF867C}">
                  <a14:compatExt spid="_x0000_s12330"/>
                </a:ext>
                <a:ext uri="{FF2B5EF4-FFF2-40B4-BE49-F238E27FC236}">
                  <a16:creationId xmlns:a16="http://schemas.microsoft.com/office/drawing/2014/main" id="{00000000-0008-0000-0D00-00002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58</xdr:row>
          <xdr:rowOff>9525</xdr:rowOff>
        </xdr:from>
        <xdr:to>
          <xdr:col>3</xdr:col>
          <xdr:colOff>600075</xdr:colOff>
          <xdr:row>59</xdr:row>
          <xdr:rowOff>38100</xdr:rowOff>
        </xdr:to>
        <xdr:sp macro="" textlink="">
          <xdr:nvSpPr>
            <xdr:cNvPr id="12331" name="Check Box 43" hidden="1">
              <a:extLst>
                <a:ext uri="{63B3BB69-23CF-44E3-9099-C40C66FF867C}">
                  <a14:compatExt spid="_x0000_s12331"/>
                </a:ext>
                <a:ext uri="{FF2B5EF4-FFF2-40B4-BE49-F238E27FC236}">
                  <a16:creationId xmlns:a16="http://schemas.microsoft.com/office/drawing/2014/main" id="{00000000-0008-0000-0D00-00002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59</xdr:row>
          <xdr:rowOff>9525</xdr:rowOff>
        </xdr:from>
        <xdr:to>
          <xdr:col>3</xdr:col>
          <xdr:colOff>600075</xdr:colOff>
          <xdr:row>60</xdr:row>
          <xdr:rowOff>28575</xdr:rowOff>
        </xdr:to>
        <xdr:sp macro="" textlink="">
          <xdr:nvSpPr>
            <xdr:cNvPr id="12332" name="Check Box 44" hidden="1">
              <a:extLst>
                <a:ext uri="{63B3BB69-23CF-44E3-9099-C40C66FF867C}">
                  <a14:compatExt spid="_x0000_s12332"/>
                </a:ext>
                <a:ext uri="{FF2B5EF4-FFF2-40B4-BE49-F238E27FC236}">
                  <a16:creationId xmlns:a16="http://schemas.microsoft.com/office/drawing/2014/main" id="{00000000-0008-0000-0D00-00002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59</xdr:row>
          <xdr:rowOff>9525</xdr:rowOff>
        </xdr:from>
        <xdr:to>
          <xdr:col>3</xdr:col>
          <xdr:colOff>600075</xdr:colOff>
          <xdr:row>60</xdr:row>
          <xdr:rowOff>28575</xdr:rowOff>
        </xdr:to>
        <xdr:sp macro="" textlink="">
          <xdr:nvSpPr>
            <xdr:cNvPr id="12333" name="Check Box 45" hidden="1">
              <a:extLst>
                <a:ext uri="{63B3BB69-23CF-44E3-9099-C40C66FF867C}">
                  <a14:compatExt spid="_x0000_s12333"/>
                </a:ext>
                <a:ext uri="{FF2B5EF4-FFF2-40B4-BE49-F238E27FC236}">
                  <a16:creationId xmlns:a16="http://schemas.microsoft.com/office/drawing/2014/main" id="{00000000-0008-0000-0D00-00002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74</xdr:row>
          <xdr:rowOff>9525</xdr:rowOff>
        </xdr:from>
        <xdr:to>
          <xdr:col>3</xdr:col>
          <xdr:colOff>600075</xdr:colOff>
          <xdr:row>75</xdr:row>
          <xdr:rowOff>38100</xdr:rowOff>
        </xdr:to>
        <xdr:sp macro="" textlink="">
          <xdr:nvSpPr>
            <xdr:cNvPr id="12334" name="Check Box 46" hidden="1">
              <a:extLst>
                <a:ext uri="{63B3BB69-23CF-44E3-9099-C40C66FF867C}">
                  <a14:compatExt spid="_x0000_s12334"/>
                </a:ext>
                <a:ext uri="{FF2B5EF4-FFF2-40B4-BE49-F238E27FC236}">
                  <a16:creationId xmlns:a16="http://schemas.microsoft.com/office/drawing/2014/main" id="{00000000-0008-0000-0D00-00002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75</xdr:row>
          <xdr:rowOff>9525</xdr:rowOff>
        </xdr:from>
        <xdr:to>
          <xdr:col>3</xdr:col>
          <xdr:colOff>600075</xdr:colOff>
          <xdr:row>76</xdr:row>
          <xdr:rowOff>38100</xdr:rowOff>
        </xdr:to>
        <xdr:sp macro="" textlink="">
          <xdr:nvSpPr>
            <xdr:cNvPr id="12335" name="Check Box 47" hidden="1">
              <a:extLst>
                <a:ext uri="{63B3BB69-23CF-44E3-9099-C40C66FF867C}">
                  <a14:compatExt spid="_x0000_s12335"/>
                </a:ext>
                <a:ext uri="{FF2B5EF4-FFF2-40B4-BE49-F238E27FC236}">
                  <a16:creationId xmlns:a16="http://schemas.microsoft.com/office/drawing/2014/main" id="{00000000-0008-0000-0D00-00002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76</xdr:row>
          <xdr:rowOff>9525</xdr:rowOff>
        </xdr:from>
        <xdr:to>
          <xdr:col>3</xdr:col>
          <xdr:colOff>600075</xdr:colOff>
          <xdr:row>77</xdr:row>
          <xdr:rowOff>38100</xdr:rowOff>
        </xdr:to>
        <xdr:sp macro="" textlink="">
          <xdr:nvSpPr>
            <xdr:cNvPr id="12336" name="Check Box 48" hidden="1">
              <a:extLst>
                <a:ext uri="{63B3BB69-23CF-44E3-9099-C40C66FF867C}">
                  <a14:compatExt spid="_x0000_s12336"/>
                </a:ext>
                <a:ext uri="{FF2B5EF4-FFF2-40B4-BE49-F238E27FC236}">
                  <a16:creationId xmlns:a16="http://schemas.microsoft.com/office/drawing/2014/main" id="{00000000-0008-0000-0D00-00003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77</xdr:row>
          <xdr:rowOff>9525</xdr:rowOff>
        </xdr:from>
        <xdr:to>
          <xdr:col>3</xdr:col>
          <xdr:colOff>600075</xdr:colOff>
          <xdr:row>78</xdr:row>
          <xdr:rowOff>38100</xdr:rowOff>
        </xdr:to>
        <xdr:sp macro="" textlink="">
          <xdr:nvSpPr>
            <xdr:cNvPr id="12337" name="Check Box 49" hidden="1">
              <a:extLst>
                <a:ext uri="{63B3BB69-23CF-44E3-9099-C40C66FF867C}">
                  <a14:compatExt spid="_x0000_s12337"/>
                </a:ext>
                <a:ext uri="{FF2B5EF4-FFF2-40B4-BE49-F238E27FC236}">
                  <a16:creationId xmlns:a16="http://schemas.microsoft.com/office/drawing/2014/main" id="{00000000-0008-0000-0D00-00003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78</xdr:row>
          <xdr:rowOff>9525</xdr:rowOff>
        </xdr:from>
        <xdr:to>
          <xdr:col>3</xdr:col>
          <xdr:colOff>600075</xdr:colOff>
          <xdr:row>79</xdr:row>
          <xdr:rowOff>38100</xdr:rowOff>
        </xdr:to>
        <xdr:sp macro="" textlink="">
          <xdr:nvSpPr>
            <xdr:cNvPr id="12338" name="Check Box 50" hidden="1">
              <a:extLst>
                <a:ext uri="{63B3BB69-23CF-44E3-9099-C40C66FF867C}">
                  <a14:compatExt spid="_x0000_s12338"/>
                </a:ext>
                <a:ext uri="{FF2B5EF4-FFF2-40B4-BE49-F238E27FC236}">
                  <a16:creationId xmlns:a16="http://schemas.microsoft.com/office/drawing/2014/main" id="{00000000-0008-0000-0D00-00003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79</xdr:row>
          <xdr:rowOff>9525</xdr:rowOff>
        </xdr:from>
        <xdr:to>
          <xdr:col>3</xdr:col>
          <xdr:colOff>600075</xdr:colOff>
          <xdr:row>80</xdr:row>
          <xdr:rowOff>38100</xdr:rowOff>
        </xdr:to>
        <xdr:sp macro="" textlink="">
          <xdr:nvSpPr>
            <xdr:cNvPr id="12339" name="Check Box 51" hidden="1">
              <a:extLst>
                <a:ext uri="{63B3BB69-23CF-44E3-9099-C40C66FF867C}">
                  <a14:compatExt spid="_x0000_s12339"/>
                </a:ext>
                <a:ext uri="{FF2B5EF4-FFF2-40B4-BE49-F238E27FC236}">
                  <a16:creationId xmlns:a16="http://schemas.microsoft.com/office/drawing/2014/main" id="{00000000-0008-0000-0D00-00003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80</xdr:row>
          <xdr:rowOff>9525</xdr:rowOff>
        </xdr:from>
        <xdr:to>
          <xdr:col>3</xdr:col>
          <xdr:colOff>600075</xdr:colOff>
          <xdr:row>81</xdr:row>
          <xdr:rowOff>38100</xdr:rowOff>
        </xdr:to>
        <xdr:sp macro="" textlink="">
          <xdr:nvSpPr>
            <xdr:cNvPr id="12340" name="Check Box 52" hidden="1">
              <a:extLst>
                <a:ext uri="{63B3BB69-23CF-44E3-9099-C40C66FF867C}">
                  <a14:compatExt spid="_x0000_s12340"/>
                </a:ext>
                <a:ext uri="{FF2B5EF4-FFF2-40B4-BE49-F238E27FC236}">
                  <a16:creationId xmlns:a16="http://schemas.microsoft.com/office/drawing/2014/main" id="{00000000-0008-0000-0D00-00003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80</xdr:row>
          <xdr:rowOff>9525</xdr:rowOff>
        </xdr:from>
        <xdr:to>
          <xdr:col>3</xdr:col>
          <xdr:colOff>600075</xdr:colOff>
          <xdr:row>81</xdr:row>
          <xdr:rowOff>38100</xdr:rowOff>
        </xdr:to>
        <xdr:sp macro="" textlink="">
          <xdr:nvSpPr>
            <xdr:cNvPr id="12341" name="Check Box 53" hidden="1">
              <a:extLst>
                <a:ext uri="{63B3BB69-23CF-44E3-9099-C40C66FF867C}">
                  <a14:compatExt spid="_x0000_s12341"/>
                </a:ext>
                <a:ext uri="{FF2B5EF4-FFF2-40B4-BE49-F238E27FC236}">
                  <a16:creationId xmlns:a16="http://schemas.microsoft.com/office/drawing/2014/main" id="{00000000-0008-0000-0D00-00003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81</xdr:row>
          <xdr:rowOff>9525</xdr:rowOff>
        </xdr:from>
        <xdr:to>
          <xdr:col>3</xdr:col>
          <xdr:colOff>600075</xdr:colOff>
          <xdr:row>82</xdr:row>
          <xdr:rowOff>38100</xdr:rowOff>
        </xdr:to>
        <xdr:sp macro="" textlink="">
          <xdr:nvSpPr>
            <xdr:cNvPr id="12342" name="Check Box 54" hidden="1">
              <a:extLst>
                <a:ext uri="{63B3BB69-23CF-44E3-9099-C40C66FF867C}">
                  <a14:compatExt spid="_x0000_s12342"/>
                </a:ext>
                <a:ext uri="{FF2B5EF4-FFF2-40B4-BE49-F238E27FC236}">
                  <a16:creationId xmlns:a16="http://schemas.microsoft.com/office/drawing/2014/main" id="{00000000-0008-0000-0D00-00003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81</xdr:row>
          <xdr:rowOff>9525</xdr:rowOff>
        </xdr:from>
        <xdr:to>
          <xdr:col>3</xdr:col>
          <xdr:colOff>600075</xdr:colOff>
          <xdr:row>82</xdr:row>
          <xdr:rowOff>38100</xdr:rowOff>
        </xdr:to>
        <xdr:sp macro="" textlink="">
          <xdr:nvSpPr>
            <xdr:cNvPr id="12343" name="Check Box 55" hidden="1">
              <a:extLst>
                <a:ext uri="{63B3BB69-23CF-44E3-9099-C40C66FF867C}">
                  <a14:compatExt spid="_x0000_s12343"/>
                </a:ext>
                <a:ext uri="{FF2B5EF4-FFF2-40B4-BE49-F238E27FC236}">
                  <a16:creationId xmlns:a16="http://schemas.microsoft.com/office/drawing/2014/main" id="{00000000-0008-0000-0D00-00003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82</xdr:row>
          <xdr:rowOff>9525</xdr:rowOff>
        </xdr:from>
        <xdr:to>
          <xdr:col>3</xdr:col>
          <xdr:colOff>600075</xdr:colOff>
          <xdr:row>83</xdr:row>
          <xdr:rowOff>38100</xdr:rowOff>
        </xdr:to>
        <xdr:sp macro="" textlink="">
          <xdr:nvSpPr>
            <xdr:cNvPr id="12344" name="Check Box 56" hidden="1">
              <a:extLst>
                <a:ext uri="{63B3BB69-23CF-44E3-9099-C40C66FF867C}">
                  <a14:compatExt spid="_x0000_s12344"/>
                </a:ext>
                <a:ext uri="{FF2B5EF4-FFF2-40B4-BE49-F238E27FC236}">
                  <a16:creationId xmlns:a16="http://schemas.microsoft.com/office/drawing/2014/main" id="{00000000-0008-0000-0D00-00003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82</xdr:row>
          <xdr:rowOff>9525</xdr:rowOff>
        </xdr:from>
        <xdr:to>
          <xdr:col>3</xdr:col>
          <xdr:colOff>600075</xdr:colOff>
          <xdr:row>83</xdr:row>
          <xdr:rowOff>38100</xdr:rowOff>
        </xdr:to>
        <xdr:sp macro="" textlink="">
          <xdr:nvSpPr>
            <xdr:cNvPr id="12345" name="Check Box 57" hidden="1">
              <a:extLst>
                <a:ext uri="{63B3BB69-23CF-44E3-9099-C40C66FF867C}">
                  <a14:compatExt spid="_x0000_s12345"/>
                </a:ext>
                <a:ext uri="{FF2B5EF4-FFF2-40B4-BE49-F238E27FC236}">
                  <a16:creationId xmlns:a16="http://schemas.microsoft.com/office/drawing/2014/main" id="{00000000-0008-0000-0D00-00003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82</xdr:row>
          <xdr:rowOff>9525</xdr:rowOff>
        </xdr:from>
        <xdr:to>
          <xdr:col>3</xdr:col>
          <xdr:colOff>600075</xdr:colOff>
          <xdr:row>83</xdr:row>
          <xdr:rowOff>38100</xdr:rowOff>
        </xdr:to>
        <xdr:sp macro="" textlink="">
          <xdr:nvSpPr>
            <xdr:cNvPr id="12346" name="Check Box 58" hidden="1">
              <a:extLst>
                <a:ext uri="{63B3BB69-23CF-44E3-9099-C40C66FF867C}">
                  <a14:compatExt spid="_x0000_s12346"/>
                </a:ext>
                <a:ext uri="{FF2B5EF4-FFF2-40B4-BE49-F238E27FC236}">
                  <a16:creationId xmlns:a16="http://schemas.microsoft.com/office/drawing/2014/main" id="{00000000-0008-0000-0D00-00003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83</xdr:row>
          <xdr:rowOff>9525</xdr:rowOff>
        </xdr:from>
        <xdr:to>
          <xdr:col>3</xdr:col>
          <xdr:colOff>600075</xdr:colOff>
          <xdr:row>84</xdr:row>
          <xdr:rowOff>28575</xdr:rowOff>
        </xdr:to>
        <xdr:sp macro="" textlink="">
          <xdr:nvSpPr>
            <xdr:cNvPr id="12347" name="Check Box 59" hidden="1">
              <a:extLst>
                <a:ext uri="{63B3BB69-23CF-44E3-9099-C40C66FF867C}">
                  <a14:compatExt spid="_x0000_s12347"/>
                </a:ext>
                <a:ext uri="{FF2B5EF4-FFF2-40B4-BE49-F238E27FC236}">
                  <a16:creationId xmlns:a16="http://schemas.microsoft.com/office/drawing/2014/main" id="{00000000-0008-0000-0D00-00003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83</xdr:row>
          <xdr:rowOff>9525</xdr:rowOff>
        </xdr:from>
        <xdr:to>
          <xdr:col>3</xdr:col>
          <xdr:colOff>600075</xdr:colOff>
          <xdr:row>84</xdr:row>
          <xdr:rowOff>28575</xdr:rowOff>
        </xdr:to>
        <xdr:sp macro="" textlink="">
          <xdr:nvSpPr>
            <xdr:cNvPr id="12348" name="Check Box 60" hidden="1">
              <a:extLst>
                <a:ext uri="{63B3BB69-23CF-44E3-9099-C40C66FF867C}">
                  <a14:compatExt spid="_x0000_s12348"/>
                </a:ext>
                <a:ext uri="{FF2B5EF4-FFF2-40B4-BE49-F238E27FC236}">
                  <a16:creationId xmlns:a16="http://schemas.microsoft.com/office/drawing/2014/main" id="{00000000-0008-0000-0D00-00003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98</xdr:row>
          <xdr:rowOff>9525</xdr:rowOff>
        </xdr:from>
        <xdr:to>
          <xdr:col>3</xdr:col>
          <xdr:colOff>600075</xdr:colOff>
          <xdr:row>99</xdr:row>
          <xdr:rowOff>38100</xdr:rowOff>
        </xdr:to>
        <xdr:sp macro="" textlink="">
          <xdr:nvSpPr>
            <xdr:cNvPr id="12349" name="Check Box 61" hidden="1">
              <a:extLst>
                <a:ext uri="{63B3BB69-23CF-44E3-9099-C40C66FF867C}">
                  <a14:compatExt spid="_x0000_s12349"/>
                </a:ext>
                <a:ext uri="{FF2B5EF4-FFF2-40B4-BE49-F238E27FC236}">
                  <a16:creationId xmlns:a16="http://schemas.microsoft.com/office/drawing/2014/main" id="{00000000-0008-0000-0D00-00003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99</xdr:row>
          <xdr:rowOff>9525</xdr:rowOff>
        </xdr:from>
        <xdr:to>
          <xdr:col>3</xdr:col>
          <xdr:colOff>600075</xdr:colOff>
          <xdr:row>100</xdr:row>
          <xdr:rowOff>38100</xdr:rowOff>
        </xdr:to>
        <xdr:sp macro="" textlink="">
          <xdr:nvSpPr>
            <xdr:cNvPr id="12350" name="Check Box 62" hidden="1">
              <a:extLst>
                <a:ext uri="{63B3BB69-23CF-44E3-9099-C40C66FF867C}">
                  <a14:compatExt spid="_x0000_s12350"/>
                </a:ext>
                <a:ext uri="{FF2B5EF4-FFF2-40B4-BE49-F238E27FC236}">
                  <a16:creationId xmlns:a16="http://schemas.microsoft.com/office/drawing/2014/main" id="{00000000-0008-0000-0D00-00003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100</xdr:row>
          <xdr:rowOff>9525</xdr:rowOff>
        </xdr:from>
        <xdr:to>
          <xdr:col>3</xdr:col>
          <xdr:colOff>600075</xdr:colOff>
          <xdr:row>101</xdr:row>
          <xdr:rowOff>38100</xdr:rowOff>
        </xdr:to>
        <xdr:sp macro="" textlink="">
          <xdr:nvSpPr>
            <xdr:cNvPr id="12351" name="Check Box 63" hidden="1">
              <a:extLst>
                <a:ext uri="{63B3BB69-23CF-44E3-9099-C40C66FF867C}">
                  <a14:compatExt spid="_x0000_s12351"/>
                </a:ext>
                <a:ext uri="{FF2B5EF4-FFF2-40B4-BE49-F238E27FC236}">
                  <a16:creationId xmlns:a16="http://schemas.microsoft.com/office/drawing/2014/main" id="{00000000-0008-0000-0D00-00003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101</xdr:row>
          <xdr:rowOff>9525</xdr:rowOff>
        </xdr:from>
        <xdr:to>
          <xdr:col>3</xdr:col>
          <xdr:colOff>600075</xdr:colOff>
          <xdr:row>102</xdr:row>
          <xdr:rowOff>38100</xdr:rowOff>
        </xdr:to>
        <xdr:sp macro="" textlink="">
          <xdr:nvSpPr>
            <xdr:cNvPr id="12352" name="Check Box 64" hidden="1">
              <a:extLst>
                <a:ext uri="{63B3BB69-23CF-44E3-9099-C40C66FF867C}">
                  <a14:compatExt spid="_x0000_s12352"/>
                </a:ext>
                <a:ext uri="{FF2B5EF4-FFF2-40B4-BE49-F238E27FC236}">
                  <a16:creationId xmlns:a16="http://schemas.microsoft.com/office/drawing/2014/main" id="{00000000-0008-0000-0D00-00004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102</xdr:row>
          <xdr:rowOff>9525</xdr:rowOff>
        </xdr:from>
        <xdr:to>
          <xdr:col>3</xdr:col>
          <xdr:colOff>600075</xdr:colOff>
          <xdr:row>103</xdr:row>
          <xdr:rowOff>38100</xdr:rowOff>
        </xdr:to>
        <xdr:sp macro="" textlink="">
          <xdr:nvSpPr>
            <xdr:cNvPr id="12353" name="Check Box 65" hidden="1">
              <a:extLst>
                <a:ext uri="{63B3BB69-23CF-44E3-9099-C40C66FF867C}">
                  <a14:compatExt spid="_x0000_s12353"/>
                </a:ext>
                <a:ext uri="{FF2B5EF4-FFF2-40B4-BE49-F238E27FC236}">
                  <a16:creationId xmlns:a16="http://schemas.microsoft.com/office/drawing/2014/main" id="{00000000-0008-0000-0D00-00004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103</xdr:row>
          <xdr:rowOff>9525</xdr:rowOff>
        </xdr:from>
        <xdr:to>
          <xdr:col>3</xdr:col>
          <xdr:colOff>600075</xdr:colOff>
          <xdr:row>104</xdr:row>
          <xdr:rowOff>38100</xdr:rowOff>
        </xdr:to>
        <xdr:sp macro="" textlink="">
          <xdr:nvSpPr>
            <xdr:cNvPr id="12354" name="Check Box 66" hidden="1">
              <a:extLst>
                <a:ext uri="{63B3BB69-23CF-44E3-9099-C40C66FF867C}">
                  <a14:compatExt spid="_x0000_s12354"/>
                </a:ext>
                <a:ext uri="{FF2B5EF4-FFF2-40B4-BE49-F238E27FC236}">
                  <a16:creationId xmlns:a16="http://schemas.microsoft.com/office/drawing/2014/main" id="{00000000-0008-0000-0D00-00004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104</xdr:row>
          <xdr:rowOff>9525</xdr:rowOff>
        </xdr:from>
        <xdr:to>
          <xdr:col>3</xdr:col>
          <xdr:colOff>600075</xdr:colOff>
          <xdr:row>105</xdr:row>
          <xdr:rowOff>38100</xdr:rowOff>
        </xdr:to>
        <xdr:sp macro="" textlink="">
          <xdr:nvSpPr>
            <xdr:cNvPr id="12355" name="Check Box 67" hidden="1">
              <a:extLst>
                <a:ext uri="{63B3BB69-23CF-44E3-9099-C40C66FF867C}">
                  <a14:compatExt spid="_x0000_s12355"/>
                </a:ext>
                <a:ext uri="{FF2B5EF4-FFF2-40B4-BE49-F238E27FC236}">
                  <a16:creationId xmlns:a16="http://schemas.microsoft.com/office/drawing/2014/main" id="{00000000-0008-0000-0D00-00004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104</xdr:row>
          <xdr:rowOff>9525</xdr:rowOff>
        </xdr:from>
        <xdr:to>
          <xdr:col>3</xdr:col>
          <xdr:colOff>600075</xdr:colOff>
          <xdr:row>105</xdr:row>
          <xdr:rowOff>38100</xdr:rowOff>
        </xdr:to>
        <xdr:sp macro="" textlink="">
          <xdr:nvSpPr>
            <xdr:cNvPr id="12356" name="Check Box 68" hidden="1">
              <a:extLst>
                <a:ext uri="{63B3BB69-23CF-44E3-9099-C40C66FF867C}">
                  <a14:compatExt spid="_x0000_s12356"/>
                </a:ext>
                <a:ext uri="{FF2B5EF4-FFF2-40B4-BE49-F238E27FC236}">
                  <a16:creationId xmlns:a16="http://schemas.microsoft.com/office/drawing/2014/main" id="{00000000-0008-0000-0D00-00004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105</xdr:row>
          <xdr:rowOff>9525</xdr:rowOff>
        </xdr:from>
        <xdr:to>
          <xdr:col>3</xdr:col>
          <xdr:colOff>600075</xdr:colOff>
          <xdr:row>106</xdr:row>
          <xdr:rowOff>38100</xdr:rowOff>
        </xdr:to>
        <xdr:sp macro="" textlink="">
          <xdr:nvSpPr>
            <xdr:cNvPr id="12357" name="Check Box 69" hidden="1">
              <a:extLst>
                <a:ext uri="{63B3BB69-23CF-44E3-9099-C40C66FF867C}">
                  <a14:compatExt spid="_x0000_s12357"/>
                </a:ext>
                <a:ext uri="{FF2B5EF4-FFF2-40B4-BE49-F238E27FC236}">
                  <a16:creationId xmlns:a16="http://schemas.microsoft.com/office/drawing/2014/main" id="{00000000-0008-0000-0D00-00004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105</xdr:row>
          <xdr:rowOff>9525</xdr:rowOff>
        </xdr:from>
        <xdr:to>
          <xdr:col>3</xdr:col>
          <xdr:colOff>600075</xdr:colOff>
          <xdr:row>106</xdr:row>
          <xdr:rowOff>38100</xdr:rowOff>
        </xdr:to>
        <xdr:sp macro="" textlink="">
          <xdr:nvSpPr>
            <xdr:cNvPr id="12358" name="Check Box 70" hidden="1">
              <a:extLst>
                <a:ext uri="{63B3BB69-23CF-44E3-9099-C40C66FF867C}">
                  <a14:compatExt spid="_x0000_s12358"/>
                </a:ext>
                <a:ext uri="{FF2B5EF4-FFF2-40B4-BE49-F238E27FC236}">
                  <a16:creationId xmlns:a16="http://schemas.microsoft.com/office/drawing/2014/main" id="{00000000-0008-0000-0D00-00004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106</xdr:row>
          <xdr:rowOff>9525</xdr:rowOff>
        </xdr:from>
        <xdr:to>
          <xdr:col>3</xdr:col>
          <xdr:colOff>600075</xdr:colOff>
          <xdr:row>107</xdr:row>
          <xdr:rowOff>38100</xdr:rowOff>
        </xdr:to>
        <xdr:sp macro="" textlink="">
          <xdr:nvSpPr>
            <xdr:cNvPr id="12359" name="Check Box 71" hidden="1">
              <a:extLst>
                <a:ext uri="{63B3BB69-23CF-44E3-9099-C40C66FF867C}">
                  <a14:compatExt spid="_x0000_s12359"/>
                </a:ext>
                <a:ext uri="{FF2B5EF4-FFF2-40B4-BE49-F238E27FC236}">
                  <a16:creationId xmlns:a16="http://schemas.microsoft.com/office/drawing/2014/main" id="{00000000-0008-0000-0D00-00004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106</xdr:row>
          <xdr:rowOff>9525</xdr:rowOff>
        </xdr:from>
        <xdr:to>
          <xdr:col>3</xdr:col>
          <xdr:colOff>600075</xdr:colOff>
          <xdr:row>107</xdr:row>
          <xdr:rowOff>38100</xdr:rowOff>
        </xdr:to>
        <xdr:sp macro="" textlink="">
          <xdr:nvSpPr>
            <xdr:cNvPr id="12360" name="Check Box 72" hidden="1">
              <a:extLst>
                <a:ext uri="{63B3BB69-23CF-44E3-9099-C40C66FF867C}">
                  <a14:compatExt spid="_x0000_s12360"/>
                </a:ext>
                <a:ext uri="{FF2B5EF4-FFF2-40B4-BE49-F238E27FC236}">
                  <a16:creationId xmlns:a16="http://schemas.microsoft.com/office/drawing/2014/main" id="{00000000-0008-0000-0D00-00004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106</xdr:row>
          <xdr:rowOff>9525</xdr:rowOff>
        </xdr:from>
        <xdr:to>
          <xdr:col>3</xdr:col>
          <xdr:colOff>600075</xdr:colOff>
          <xdr:row>107</xdr:row>
          <xdr:rowOff>38100</xdr:rowOff>
        </xdr:to>
        <xdr:sp macro="" textlink="">
          <xdr:nvSpPr>
            <xdr:cNvPr id="12361" name="Check Box 73" hidden="1">
              <a:extLst>
                <a:ext uri="{63B3BB69-23CF-44E3-9099-C40C66FF867C}">
                  <a14:compatExt spid="_x0000_s12361"/>
                </a:ext>
                <a:ext uri="{FF2B5EF4-FFF2-40B4-BE49-F238E27FC236}">
                  <a16:creationId xmlns:a16="http://schemas.microsoft.com/office/drawing/2014/main" id="{00000000-0008-0000-0D00-00004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107</xdr:row>
          <xdr:rowOff>9525</xdr:rowOff>
        </xdr:from>
        <xdr:to>
          <xdr:col>3</xdr:col>
          <xdr:colOff>600075</xdr:colOff>
          <xdr:row>108</xdr:row>
          <xdr:rowOff>28575</xdr:rowOff>
        </xdr:to>
        <xdr:sp macro="" textlink="">
          <xdr:nvSpPr>
            <xdr:cNvPr id="12362" name="Check Box 74" hidden="1">
              <a:extLst>
                <a:ext uri="{63B3BB69-23CF-44E3-9099-C40C66FF867C}">
                  <a14:compatExt spid="_x0000_s12362"/>
                </a:ext>
                <a:ext uri="{FF2B5EF4-FFF2-40B4-BE49-F238E27FC236}">
                  <a16:creationId xmlns:a16="http://schemas.microsoft.com/office/drawing/2014/main" id="{00000000-0008-0000-0D00-00004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107</xdr:row>
          <xdr:rowOff>9525</xdr:rowOff>
        </xdr:from>
        <xdr:to>
          <xdr:col>3</xdr:col>
          <xdr:colOff>600075</xdr:colOff>
          <xdr:row>108</xdr:row>
          <xdr:rowOff>28575</xdr:rowOff>
        </xdr:to>
        <xdr:sp macro="" textlink="">
          <xdr:nvSpPr>
            <xdr:cNvPr id="12363" name="Check Box 75" hidden="1">
              <a:extLst>
                <a:ext uri="{63B3BB69-23CF-44E3-9099-C40C66FF867C}">
                  <a14:compatExt spid="_x0000_s12363"/>
                </a:ext>
                <a:ext uri="{FF2B5EF4-FFF2-40B4-BE49-F238E27FC236}">
                  <a16:creationId xmlns:a16="http://schemas.microsoft.com/office/drawing/2014/main" id="{00000000-0008-0000-0D00-00004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122</xdr:row>
          <xdr:rowOff>9525</xdr:rowOff>
        </xdr:from>
        <xdr:to>
          <xdr:col>3</xdr:col>
          <xdr:colOff>600075</xdr:colOff>
          <xdr:row>123</xdr:row>
          <xdr:rowOff>38100</xdr:rowOff>
        </xdr:to>
        <xdr:sp macro="" textlink="">
          <xdr:nvSpPr>
            <xdr:cNvPr id="12364" name="Check Box 76" hidden="1">
              <a:extLst>
                <a:ext uri="{63B3BB69-23CF-44E3-9099-C40C66FF867C}">
                  <a14:compatExt spid="_x0000_s12364"/>
                </a:ext>
                <a:ext uri="{FF2B5EF4-FFF2-40B4-BE49-F238E27FC236}">
                  <a16:creationId xmlns:a16="http://schemas.microsoft.com/office/drawing/2014/main" id="{00000000-0008-0000-0D00-00004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123</xdr:row>
          <xdr:rowOff>9525</xdr:rowOff>
        </xdr:from>
        <xdr:to>
          <xdr:col>3</xdr:col>
          <xdr:colOff>600075</xdr:colOff>
          <xdr:row>124</xdr:row>
          <xdr:rowOff>38100</xdr:rowOff>
        </xdr:to>
        <xdr:sp macro="" textlink="">
          <xdr:nvSpPr>
            <xdr:cNvPr id="12365" name="Check Box 77" hidden="1">
              <a:extLst>
                <a:ext uri="{63B3BB69-23CF-44E3-9099-C40C66FF867C}">
                  <a14:compatExt spid="_x0000_s12365"/>
                </a:ext>
                <a:ext uri="{FF2B5EF4-FFF2-40B4-BE49-F238E27FC236}">
                  <a16:creationId xmlns:a16="http://schemas.microsoft.com/office/drawing/2014/main" id="{00000000-0008-0000-0D00-00004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124</xdr:row>
          <xdr:rowOff>9525</xdr:rowOff>
        </xdr:from>
        <xdr:to>
          <xdr:col>3</xdr:col>
          <xdr:colOff>600075</xdr:colOff>
          <xdr:row>125</xdr:row>
          <xdr:rowOff>38100</xdr:rowOff>
        </xdr:to>
        <xdr:sp macro="" textlink="">
          <xdr:nvSpPr>
            <xdr:cNvPr id="12366" name="Check Box 78" hidden="1">
              <a:extLst>
                <a:ext uri="{63B3BB69-23CF-44E3-9099-C40C66FF867C}">
                  <a14:compatExt spid="_x0000_s12366"/>
                </a:ext>
                <a:ext uri="{FF2B5EF4-FFF2-40B4-BE49-F238E27FC236}">
                  <a16:creationId xmlns:a16="http://schemas.microsoft.com/office/drawing/2014/main" id="{00000000-0008-0000-0D00-00004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125</xdr:row>
          <xdr:rowOff>9525</xdr:rowOff>
        </xdr:from>
        <xdr:to>
          <xdr:col>3</xdr:col>
          <xdr:colOff>600075</xdr:colOff>
          <xdr:row>126</xdr:row>
          <xdr:rowOff>38100</xdr:rowOff>
        </xdr:to>
        <xdr:sp macro="" textlink="">
          <xdr:nvSpPr>
            <xdr:cNvPr id="12367" name="Check Box 79" hidden="1">
              <a:extLst>
                <a:ext uri="{63B3BB69-23CF-44E3-9099-C40C66FF867C}">
                  <a14:compatExt spid="_x0000_s12367"/>
                </a:ext>
                <a:ext uri="{FF2B5EF4-FFF2-40B4-BE49-F238E27FC236}">
                  <a16:creationId xmlns:a16="http://schemas.microsoft.com/office/drawing/2014/main" id="{00000000-0008-0000-0D00-00004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126</xdr:row>
          <xdr:rowOff>9525</xdr:rowOff>
        </xdr:from>
        <xdr:to>
          <xdr:col>3</xdr:col>
          <xdr:colOff>600075</xdr:colOff>
          <xdr:row>127</xdr:row>
          <xdr:rowOff>38100</xdr:rowOff>
        </xdr:to>
        <xdr:sp macro="" textlink="">
          <xdr:nvSpPr>
            <xdr:cNvPr id="12368" name="Check Box 80" hidden="1">
              <a:extLst>
                <a:ext uri="{63B3BB69-23CF-44E3-9099-C40C66FF867C}">
                  <a14:compatExt spid="_x0000_s12368"/>
                </a:ext>
                <a:ext uri="{FF2B5EF4-FFF2-40B4-BE49-F238E27FC236}">
                  <a16:creationId xmlns:a16="http://schemas.microsoft.com/office/drawing/2014/main" id="{00000000-0008-0000-0D00-00005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127</xdr:row>
          <xdr:rowOff>9525</xdr:rowOff>
        </xdr:from>
        <xdr:to>
          <xdr:col>3</xdr:col>
          <xdr:colOff>600075</xdr:colOff>
          <xdr:row>128</xdr:row>
          <xdr:rowOff>38100</xdr:rowOff>
        </xdr:to>
        <xdr:sp macro="" textlink="">
          <xdr:nvSpPr>
            <xdr:cNvPr id="12369" name="Check Box 81" hidden="1">
              <a:extLst>
                <a:ext uri="{63B3BB69-23CF-44E3-9099-C40C66FF867C}">
                  <a14:compatExt spid="_x0000_s12369"/>
                </a:ext>
                <a:ext uri="{FF2B5EF4-FFF2-40B4-BE49-F238E27FC236}">
                  <a16:creationId xmlns:a16="http://schemas.microsoft.com/office/drawing/2014/main" id="{00000000-0008-0000-0D00-00005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128</xdr:row>
          <xdr:rowOff>9525</xdr:rowOff>
        </xdr:from>
        <xdr:to>
          <xdr:col>3</xdr:col>
          <xdr:colOff>600075</xdr:colOff>
          <xdr:row>129</xdr:row>
          <xdr:rowOff>38100</xdr:rowOff>
        </xdr:to>
        <xdr:sp macro="" textlink="">
          <xdr:nvSpPr>
            <xdr:cNvPr id="12370" name="Check Box 82" hidden="1">
              <a:extLst>
                <a:ext uri="{63B3BB69-23CF-44E3-9099-C40C66FF867C}">
                  <a14:compatExt spid="_x0000_s12370"/>
                </a:ext>
                <a:ext uri="{FF2B5EF4-FFF2-40B4-BE49-F238E27FC236}">
                  <a16:creationId xmlns:a16="http://schemas.microsoft.com/office/drawing/2014/main" id="{00000000-0008-0000-0D00-00005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128</xdr:row>
          <xdr:rowOff>9525</xdr:rowOff>
        </xdr:from>
        <xdr:to>
          <xdr:col>3</xdr:col>
          <xdr:colOff>600075</xdr:colOff>
          <xdr:row>129</xdr:row>
          <xdr:rowOff>38100</xdr:rowOff>
        </xdr:to>
        <xdr:sp macro="" textlink="">
          <xdr:nvSpPr>
            <xdr:cNvPr id="12371" name="Check Box 83" hidden="1">
              <a:extLst>
                <a:ext uri="{63B3BB69-23CF-44E3-9099-C40C66FF867C}">
                  <a14:compatExt spid="_x0000_s12371"/>
                </a:ext>
                <a:ext uri="{FF2B5EF4-FFF2-40B4-BE49-F238E27FC236}">
                  <a16:creationId xmlns:a16="http://schemas.microsoft.com/office/drawing/2014/main" id="{00000000-0008-0000-0D00-00005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129</xdr:row>
          <xdr:rowOff>9525</xdr:rowOff>
        </xdr:from>
        <xdr:to>
          <xdr:col>3</xdr:col>
          <xdr:colOff>600075</xdr:colOff>
          <xdr:row>130</xdr:row>
          <xdr:rowOff>38100</xdr:rowOff>
        </xdr:to>
        <xdr:sp macro="" textlink="">
          <xdr:nvSpPr>
            <xdr:cNvPr id="12372" name="Check Box 84" hidden="1">
              <a:extLst>
                <a:ext uri="{63B3BB69-23CF-44E3-9099-C40C66FF867C}">
                  <a14:compatExt spid="_x0000_s12372"/>
                </a:ext>
                <a:ext uri="{FF2B5EF4-FFF2-40B4-BE49-F238E27FC236}">
                  <a16:creationId xmlns:a16="http://schemas.microsoft.com/office/drawing/2014/main" id="{00000000-0008-0000-0D00-00005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129</xdr:row>
          <xdr:rowOff>9525</xdr:rowOff>
        </xdr:from>
        <xdr:to>
          <xdr:col>3</xdr:col>
          <xdr:colOff>600075</xdr:colOff>
          <xdr:row>130</xdr:row>
          <xdr:rowOff>38100</xdr:rowOff>
        </xdr:to>
        <xdr:sp macro="" textlink="">
          <xdr:nvSpPr>
            <xdr:cNvPr id="12373" name="Check Box 85" hidden="1">
              <a:extLst>
                <a:ext uri="{63B3BB69-23CF-44E3-9099-C40C66FF867C}">
                  <a14:compatExt spid="_x0000_s12373"/>
                </a:ext>
                <a:ext uri="{FF2B5EF4-FFF2-40B4-BE49-F238E27FC236}">
                  <a16:creationId xmlns:a16="http://schemas.microsoft.com/office/drawing/2014/main" id="{00000000-0008-0000-0D00-00005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130</xdr:row>
          <xdr:rowOff>9525</xdr:rowOff>
        </xdr:from>
        <xdr:to>
          <xdr:col>3</xdr:col>
          <xdr:colOff>600075</xdr:colOff>
          <xdr:row>131</xdr:row>
          <xdr:rowOff>38100</xdr:rowOff>
        </xdr:to>
        <xdr:sp macro="" textlink="">
          <xdr:nvSpPr>
            <xdr:cNvPr id="12374" name="Check Box 86" hidden="1">
              <a:extLst>
                <a:ext uri="{63B3BB69-23CF-44E3-9099-C40C66FF867C}">
                  <a14:compatExt spid="_x0000_s12374"/>
                </a:ext>
                <a:ext uri="{FF2B5EF4-FFF2-40B4-BE49-F238E27FC236}">
                  <a16:creationId xmlns:a16="http://schemas.microsoft.com/office/drawing/2014/main" id="{00000000-0008-0000-0D00-00005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130</xdr:row>
          <xdr:rowOff>9525</xdr:rowOff>
        </xdr:from>
        <xdr:to>
          <xdr:col>3</xdr:col>
          <xdr:colOff>600075</xdr:colOff>
          <xdr:row>131</xdr:row>
          <xdr:rowOff>38100</xdr:rowOff>
        </xdr:to>
        <xdr:sp macro="" textlink="">
          <xdr:nvSpPr>
            <xdr:cNvPr id="12375" name="Check Box 87" hidden="1">
              <a:extLst>
                <a:ext uri="{63B3BB69-23CF-44E3-9099-C40C66FF867C}">
                  <a14:compatExt spid="_x0000_s12375"/>
                </a:ext>
                <a:ext uri="{FF2B5EF4-FFF2-40B4-BE49-F238E27FC236}">
                  <a16:creationId xmlns:a16="http://schemas.microsoft.com/office/drawing/2014/main" id="{00000000-0008-0000-0D00-00005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130</xdr:row>
          <xdr:rowOff>9525</xdr:rowOff>
        </xdr:from>
        <xdr:to>
          <xdr:col>3</xdr:col>
          <xdr:colOff>600075</xdr:colOff>
          <xdr:row>131</xdr:row>
          <xdr:rowOff>38100</xdr:rowOff>
        </xdr:to>
        <xdr:sp macro="" textlink="">
          <xdr:nvSpPr>
            <xdr:cNvPr id="12376" name="Check Box 88" hidden="1">
              <a:extLst>
                <a:ext uri="{63B3BB69-23CF-44E3-9099-C40C66FF867C}">
                  <a14:compatExt spid="_x0000_s12376"/>
                </a:ext>
                <a:ext uri="{FF2B5EF4-FFF2-40B4-BE49-F238E27FC236}">
                  <a16:creationId xmlns:a16="http://schemas.microsoft.com/office/drawing/2014/main" id="{00000000-0008-0000-0D00-00005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131</xdr:row>
          <xdr:rowOff>9525</xdr:rowOff>
        </xdr:from>
        <xdr:to>
          <xdr:col>3</xdr:col>
          <xdr:colOff>600075</xdr:colOff>
          <xdr:row>132</xdr:row>
          <xdr:rowOff>28575</xdr:rowOff>
        </xdr:to>
        <xdr:sp macro="" textlink="">
          <xdr:nvSpPr>
            <xdr:cNvPr id="12377" name="Check Box 89" hidden="1">
              <a:extLst>
                <a:ext uri="{63B3BB69-23CF-44E3-9099-C40C66FF867C}">
                  <a14:compatExt spid="_x0000_s12377"/>
                </a:ext>
                <a:ext uri="{FF2B5EF4-FFF2-40B4-BE49-F238E27FC236}">
                  <a16:creationId xmlns:a16="http://schemas.microsoft.com/office/drawing/2014/main" id="{00000000-0008-0000-0D00-00005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131</xdr:row>
          <xdr:rowOff>9525</xdr:rowOff>
        </xdr:from>
        <xdr:to>
          <xdr:col>3</xdr:col>
          <xdr:colOff>600075</xdr:colOff>
          <xdr:row>132</xdr:row>
          <xdr:rowOff>28575</xdr:rowOff>
        </xdr:to>
        <xdr:sp macro="" textlink="">
          <xdr:nvSpPr>
            <xdr:cNvPr id="12378" name="Check Box 90" hidden="1">
              <a:extLst>
                <a:ext uri="{63B3BB69-23CF-44E3-9099-C40C66FF867C}">
                  <a14:compatExt spid="_x0000_s12378"/>
                </a:ext>
                <a:ext uri="{FF2B5EF4-FFF2-40B4-BE49-F238E27FC236}">
                  <a16:creationId xmlns:a16="http://schemas.microsoft.com/office/drawing/2014/main" id="{00000000-0008-0000-0D00-00005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35</xdr:row>
          <xdr:rowOff>9525</xdr:rowOff>
        </xdr:from>
        <xdr:to>
          <xdr:col>3</xdr:col>
          <xdr:colOff>600075</xdr:colOff>
          <xdr:row>36</xdr:row>
          <xdr:rowOff>28575</xdr:rowOff>
        </xdr:to>
        <xdr:sp macro="" textlink="">
          <xdr:nvSpPr>
            <xdr:cNvPr id="12379" name="Check Box 91" hidden="1">
              <a:extLst>
                <a:ext uri="{63B3BB69-23CF-44E3-9099-C40C66FF867C}">
                  <a14:compatExt spid="_x0000_s12379"/>
                </a:ext>
                <a:ext uri="{FF2B5EF4-FFF2-40B4-BE49-F238E27FC236}">
                  <a16:creationId xmlns:a16="http://schemas.microsoft.com/office/drawing/2014/main" id="{00000000-0008-0000-0D00-00005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35</xdr:row>
          <xdr:rowOff>9525</xdr:rowOff>
        </xdr:from>
        <xdr:to>
          <xdr:col>3</xdr:col>
          <xdr:colOff>600075</xdr:colOff>
          <xdr:row>36</xdr:row>
          <xdr:rowOff>28575</xdr:rowOff>
        </xdr:to>
        <xdr:sp macro="" textlink="">
          <xdr:nvSpPr>
            <xdr:cNvPr id="12380" name="Check Box 92" hidden="1">
              <a:extLst>
                <a:ext uri="{63B3BB69-23CF-44E3-9099-C40C66FF867C}">
                  <a14:compatExt spid="_x0000_s12380"/>
                </a:ext>
                <a:ext uri="{FF2B5EF4-FFF2-40B4-BE49-F238E27FC236}">
                  <a16:creationId xmlns:a16="http://schemas.microsoft.com/office/drawing/2014/main" id="{00000000-0008-0000-0D00-00005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59</xdr:row>
          <xdr:rowOff>9525</xdr:rowOff>
        </xdr:from>
        <xdr:to>
          <xdr:col>3</xdr:col>
          <xdr:colOff>600075</xdr:colOff>
          <xdr:row>60</xdr:row>
          <xdr:rowOff>28575</xdr:rowOff>
        </xdr:to>
        <xdr:sp macro="" textlink="">
          <xdr:nvSpPr>
            <xdr:cNvPr id="12381" name="Check Box 93" hidden="1">
              <a:extLst>
                <a:ext uri="{63B3BB69-23CF-44E3-9099-C40C66FF867C}">
                  <a14:compatExt spid="_x0000_s12381"/>
                </a:ext>
                <a:ext uri="{FF2B5EF4-FFF2-40B4-BE49-F238E27FC236}">
                  <a16:creationId xmlns:a16="http://schemas.microsoft.com/office/drawing/2014/main" id="{00000000-0008-0000-0D00-00005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59</xdr:row>
          <xdr:rowOff>9525</xdr:rowOff>
        </xdr:from>
        <xdr:to>
          <xdr:col>3</xdr:col>
          <xdr:colOff>600075</xdr:colOff>
          <xdr:row>60</xdr:row>
          <xdr:rowOff>28575</xdr:rowOff>
        </xdr:to>
        <xdr:sp macro="" textlink="">
          <xdr:nvSpPr>
            <xdr:cNvPr id="12382" name="Check Box 94" hidden="1">
              <a:extLst>
                <a:ext uri="{63B3BB69-23CF-44E3-9099-C40C66FF867C}">
                  <a14:compatExt spid="_x0000_s12382"/>
                </a:ext>
                <a:ext uri="{FF2B5EF4-FFF2-40B4-BE49-F238E27FC236}">
                  <a16:creationId xmlns:a16="http://schemas.microsoft.com/office/drawing/2014/main" id="{00000000-0008-0000-0D00-00005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83</xdr:row>
          <xdr:rowOff>9525</xdr:rowOff>
        </xdr:from>
        <xdr:to>
          <xdr:col>3</xdr:col>
          <xdr:colOff>600075</xdr:colOff>
          <xdr:row>84</xdr:row>
          <xdr:rowOff>28575</xdr:rowOff>
        </xdr:to>
        <xdr:sp macro="" textlink="">
          <xdr:nvSpPr>
            <xdr:cNvPr id="12383" name="Check Box 95" hidden="1">
              <a:extLst>
                <a:ext uri="{63B3BB69-23CF-44E3-9099-C40C66FF867C}">
                  <a14:compatExt spid="_x0000_s12383"/>
                </a:ext>
                <a:ext uri="{FF2B5EF4-FFF2-40B4-BE49-F238E27FC236}">
                  <a16:creationId xmlns:a16="http://schemas.microsoft.com/office/drawing/2014/main" id="{00000000-0008-0000-0D00-00005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83</xdr:row>
          <xdr:rowOff>9525</xdr:rowOff>
        </xdr:from>
        <xdr:to>
          <xdr:col>3</xdr:col>
          <xdr:colOff>600075</xdr:colOff>
          <xdr:row>84</xdr:row>
          <xdr:rowOff>28575</xdr:rowOff>
        </xdr:to>
        <xdr:sp macro="" textlink="">
          <xdr:nvSpPr>
            <xdr:cNvPr id="12384" name="Check Box 96" hidden="1">
              <a:extLst>
                <a:ext uri="{63B3BB69-23CF-44E3-9099-C40C66FF867C}">
                  <a14:compatExt spid="_x0000_s12384"/>
                </a:ext>
                <a:ext uri="{FF2B5EF4-FFF2-40B4-BE49-F238E27FC236}">
                  <a16:creationId xmlns:a16="http://schemas.microsoft.com/office/drawing/2014/main" id="{00000000-0008-0000-0D00-00006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107</xdr:row>
          <xdr:rowOff>9525</xdr:rowOff>
        </xdr:from>
        <xdr:to>
          <xdr:col>3</xdr:col>
          <xdr:colOff>600075</xdr:colOff>
          <xdr:row>108</xdr:row>
          <xdr:rowOff>28575</xdr:rowOff>
        </xdr:to>
        <xdr:sp macro="" textlink="">
          <xdr:nvSpPr>
            <xdr:cNvPr id="12385" name="Check Box 97" hidden="1">
              <a:extLst>
                <a:ext uri="{63B3BB69-23CF-44E3-9099-C40C66FF867C}">
                  <a14:compatExt spid="_x0000_s12385"/>
                </a:ext>
                <a:ext uri="{FF2B5EF4-FFF2-40B4-BE49-F238E27FC236}">
                  <a16:creationId xmlns:a16="http://schemas.microsoft.com/office/drawing/2014/main" id="{00000000-0008-0000-0D00-00006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107</xdr:row>
          <xdr:rowOff>9525</xdr:rowOff>
        </xdr:from>
        <xdr:to>
          <xdr:col>3</xdr:col>
          <xdr:colOff>600075</xdr:colOff>
          <xdr:row>108</xdr:row>
          <xdr:rowOff>28575</xdr:rowOff>
        </xdr:to>
        <xdr:sp macro="" textlink="">
          <xdr:nvSpPr>
            <xdr:cNvPr id="12386" name="Check Box 98" hidden="1">
              <a:extLst>
                <a:ext uri="{63B3BB69-23CF-44E3-9099-C40C66FF867C}">
                  <a14:compatExt spid="_x0000_s12386"/>
                </a:ext>
                <a:ext uri="{FF2B5EF4-FFF2-40B4-BE49-F238E27FC236}">
                  <a16:creationId xmlns:a16="http://schemas.microsoft.com/office/drawing/2014/main" id="{00000000-0008-0000-0D00-00006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131</xdr:row>
          <xdr:rowOff>9525</xdr:rowOff>
        </xdr:from>
        <xdr:to>
          <xdr:col>3</xdr:col>
          <xdr:colOff>600075</xdr:colOff>
          <xdr:row>132</xdr:row>
          <xdr:rowOff>28575</xdr:rowOff>
        </xdr:to>
        <xdr:sp macro="" textlink="">
          <xdr:nvSpPr>
            <xdr:cNvPr id="12387" name="Check Box 99" hidden="1">
              <a:extLst>
                <a:ext uri="{63B3BB69-23CF-44E3-9099-C40C66FF867C}">
                  <a14:compatExt spid="_x0000_s12387"/>
                </a:ext>
                <a:ext uri="{FF2B5EF4-FFF2-40B4-BE49-F238E27FC236}">
                  <a16:creationId xmlns:a16="http://schemas.microsoft.com/office/drawing/2014/main" id="{00000000-0008-0000-0D00-00006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131</xdr:row>
          <xdr:rowOff>9525</xdr:rowOff>
        </xdr:from>
        <xdr:to>
          <xdr:col>3</xdr:col>
          <xdr:colOff>600075</xdr:colOff>
          <xdr:row>132</xdr:row>
          <xdr:rowOff>28575</xdr:rowOff>
        </xdr:to>
        <xdr:sp macro="" textlink="">
          <xdr:nvSpPr>
            <xdr:cNvPr id="12388" name="Check Box 100" hidden="1">
              <a:extLst>
                <a:ext uri="{63B3BB69-23CF-44E3-9099-C40C66FF867C}">
                  <a14:compatExt spid="_x0000_s12388"/>
                </a:ext>
                <a:ext uri="{FF2B5EF4-FFF2-40B4-BE49-F238E27FC236}">
                  <a16:creationId xmlns:a16="http://schemas.microsoft.com/office/drawing/2014/main" id="{00000000-0008-0000-0D00-00006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algdata.se/algdata/SiteCollectionDocuments/&#196;lgf&#246;rvaltningsplaner/&#196;FPmall_2014_Ver%201_8_uppdaterad_2014-06-0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extraadmin.lansstyrelsen.se/Users/660219-001/Downloads/&#196;FPmall_2014_Ver%201_8_uppdaterad_2014-06-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örutsättningar"/>
      <sheetName val="NFS 2011-7"/>
      <sheetName val="Plan"/>
      <sheetName val="2.1.1 Avskjutning"/>
      <sheetName val="2.1.2 Älgobs"/>
      <sheetName val="2.1.3 Spillningsinventering"/>
      <sheetName val="2.1.4 Kalvvikter"/>
      <sheetName val="2.2.1 Äbin"/>
      <sheetName val="Utdata"/>
      <sheetName val="Faktorer"/>
      <sheetName val="Sammanst spillinv ÄFO"/>
    </sheetNames>
    <sheetDataSet>
      <sheetData sheetId="0"/>
      <sheetData sheetId="1"/>
      <sheetData sheetId="2">
        <row r="3">
          <cell r="C3">
            <v>2014</v>
          </cell>
        </row>
      </sheetData>
      <sheetData sheetId="3"/>
      <sheetData sheetId="4"/>
      <sheetData sheetId="5"/>
      <sheetData sheetId="6"/>
      <sheetData sheetId="7"/>
      <sheetData sheetId="8"/>
      <sheetData sheetId="9">
        <row r="3">
          <cell r="C3" t="str">
            <v>Välj i lista</v>
          </cell>
          <cell r="D3" t="str">
            <v>Välj i lista</v>
          </cell>
        </row>
        <row r="5">
          <cell r="C5" t="str">
            <v>Tallar %</v>
          </cell>
          <cell r="D5" t="str">
            <v>RASE, andel ytor med god konkurrensstatus, %</v>
          </cell>
        </row>
        <row r="6">
          <cell r="C6" t="str">
            <v>Granar %</v>
          </cell>
          <cell r="D6" t="str">
            <v>Försommarbete, färska skador i %</v>
          </cell>
        </row>
        <row r="7">
          <cell r="C7" t="str">
            <v>Produktionsstammar %</v>
          </cell>
          <cell r="D7" t="str">
            <v>Ståndortsanpassning, andel ytor med rätt trsl, %</v>
          </cell>
        </row>
        <row r="8">
          <cell r="D8" t="str">
            <v>Föryngringsframgång, %</v>
          </cell>
        </row>
      </sheetData>
      <sheetData sheetId="1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örutsättningar"/>
      <sheetName val="NFS 2011-7"/>
      <sheetName val="Plan"/>
      <sheetName val="2.1.1 Avskjutning"/>
      <sheetName val="2.1.2 Älgobs"/>
      <sheetName val="2.1.3 Spillningsinventering"/>
      <sheetName val="2.1.4 Kalvvikter"/>
      <sheetName val="2.2.1 Äbin"/>
      <sheetName val="Utdata"/>
      <sheetName val="Faktorer"/>
      <sheetName val="Sammanst spillinv ÄFO"/>
    </sheetNames>
    <sheetDataSet>
      <sheetData sheetId="0"/>
      <sheetData sheetId="1"/>
      <sheetData sheetId="2">
        <row r="3">
          <cell r="C3">
            <v>2014</v>
          </cell>
        </row>
      </sheetData>
      <sheetData sheetId="3"/>
      <sheetData sheetId="4"/>
      <sheetData sheetId="5"/>
      <sheetData sheetId="6"/>
      <sheetData sheetId="7"/>
      <sheetData sheetId="8"/>
      <sheetData sheetId="9">
        <row r="3">
          <cell r="C3" t="str">
            <v>Välj i lista</v>
          </cell>
        </row>
        <row r="5">
          <cell r="C5" t="str">
            <v>Tallar %</v>
          </cell>
        </row>
        <row r="6">
          <cell r="C6" t="str">
            <v>Granar %</v>
          </cell>
        </row>
        <row r="7">
          <cell r="C7" t="str">
            <v>Produktionsstammar %</v>
          </cell>
        </row>
      </sheetData>
      <sheetData sheetId="10"/>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algdata@lansstyrelsen.se"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http://www.naturvardsverket.se/Documents/foreskrifter/nfs2011/nfs-2011-07.pdf" TargetMode="External"/></Relationships>
</file>

<file path=xl/worksheets/_rels/sheet4.xml.rels><?xml version="1.0" encoding="UTF-8" standalone="yes"?>
<Relationships xmlns="http://schemas.openxmlformats.org/package/2006/relationships"><Relationship Id="rId26" Type="http://schemas.openxmlformats.org/officeDocument/2006/relationships/ctrlProp" Target="../ctrlProps/ctrlProp20.xml"/><Relationship Id="rId21" Type="http://schemas.openxmlformats.org/officeDocument/2006/relationships/ctrlProp" Target="../ctrlProps/ctrlProp15.xml"/><Relationship Id="rId42" Type="http://schemas.openxmlformats.org/officeDocument/2006/relationships/ctrlProp" Target="../ctrlProps/ctrlProp36.xml"/><Relationship Id="rId47" Type="http://schemas.openxmlformats.org/officeDocument/2006/relationships/ctrlProp" Target="../ctrlProps/ctrlProp41.xml"/><Relationship Id="rId63" Type="http://schemas.openxmlformats.org/officeDocument/2006/relationships/ctrlProp" Target="../ctrlProps/ctrlProp57.xml"/><Relationship Id="rId68" Type="http://schemas.openxmlformats.org/officeDocument/2006/relationships/ctrlProp" Target="../ctrlProps/ctrlProp62.xml"/><Relationship Id="rId2" Type="http://schemas.openxmlformats.org/officeDocument/2006/relationships/hyperlink" Target="https://www.skogsstyrelsen.se/abin" TargetMode="External"/><Relationship Id="rId16" Type="http://schemas.openxmlformats.org/officeDocument/2006/relationships/ctrlProp" Target="../ctrlProps/ctrlProp10.xml"/><Relationship Id="rId29" Type="http://schemas.openxmlformats.org/officeDocument/2006/relationships/ctrlProp" Target="../ctrlProps/ctrlProp23.xml"/><Relationship Id="rId11" Type="http://schemas.openxmlformats.org/officeDocument/2006/relationships/ctrlProp" Target="../ctrlProps/ctrlProp5.xml"/><Relationship Id="rId24" Type="http://schemas.openxmlformats.org/officeDocument/2006/relationships/ctrlProp" Target="../ctrlProps/ctrlProp18.xml"/><Relationship Id="rId32" Type="http://schemas.openxmlformats.org/officeDocument/2006/relationships/ctrlProp" Target="../ctrlProps/ctrlProp26.xml"/><Relationship Id="rId37" Type="http://schemas.openxmlformats.org/officeDocument/2006/relationships/ctrlProp" Target="../ctrlProps/ctrlProp31.xml"/><Relationship Id="rId40" Type="http://schemas.openxmlformats.org/officeDocument/2006/relationships/ctrlProp" Target="../ctrlProps/ctrlProp34.xml"/><Relationship Id="rId45" Type="http://schemas.openxmlformats.org/officeDocument/2006/relationships/ctrlProp" Target="../ctrlProps/ctrlProp39.xml"/><Relationship Id="rId53" Type="http://schemas.openxmlformats.org/officeDocument/2006/relationships/ctrlProp" Target="../ctrlProps/ctrlProp47.xml"/><Relationship Id="rId58" Type="http://schemas.openxmlformats.org/officeDocument/2006/relationships/ctrlProp" Target="../ctrlProps/ctrlProp52.xml"/><Relationship Id="rId66" Type="http://schemas.openxmlformats.org/officeDocument/2006/relationships/ctrlProp" Target="../ctrlProps/ctrlProp60.xml"/><Relationship Id="rId74" Type="http://schemas.openxmlformats.org/officeDocument/2006/relationships/ctrlProp" Target="../ctrlProps/ctrlProp68.xml"/><Relationship Id="rId5" Type="http://schemas.openxmlformats.org/officeDocument/2006/relationships/drawing" Target="../drawings/drawing1.xml"/><Relationship Id="rId61" Type="http://schemas.openxmlformats.org/officeDocument/2006/relationships/ctrlProp" Target="../ctrlProps/ctrlProp55.xml"/><Relationship Id="rId19" Type="http://schemas.openxmlformats.org/officeDocument/2006/relationships/ctrlProp" Target="../ctrlProps/ctrlProp13.xml"/><Relationship Id="rId14" Type="http://schemas.openxmlformats.org/officeDocument/2006/relationships/ctrlProp" Target="../ctrlProps/ctrlProp8.xml"/><Relationship Id="rId22" Type="http://schemas.openxmlformats.org/officeDocument/2006/relationships/ctrlProp" Target="../ctrlProps/ctrlProp16.xml"/><Relationship Id="rId27" Type="http://schemas.openxmlformats.org/officeDocument/2006/relationships/ctrlProp" Target="../ctrlProps/ctrlProp21.xml"/><Relationship Id="rId30" Type="http://schemas.openxmlformats.org/officeDocument/2006/relationships/ctrlProp" Target="../ctrlProps/ctrlProp24.xml"/><Relationship Id="rId35" Type="http://schemas.openxmlformats.org/officeDocument/2006/relationships/ctrlProp" Target="../ctrlProps/ctrlProp29.xml"/><Relationship Id="rId43" Type="http://schemas.openxmlformats.org/officeDocument/2006/relationships/ctrlProp" Target="../ctrlProps/ctrlProp37.xml"/><Relationship Id="rId48" Type="http://schemas.openxmlformats.org/officeDocument/2006/relationships/ctrlProp" Target="../ctrlProps/ctrlProp42.xml"/><Relationship Id="rId56" Type="http://schemas.openxmlformats.org/officeDocument/2006/relationships/ctrlProp" Target="../ctrlProps/ctrlProp50.xml"/><Relationship Id="rId64" Type="http://schemas.openxmlformats.org/officeDocument/2006/relationships/ctrlProp" Target="../ctrlProps/ctrlProp58.xml"/><Relationship Id="rId69" Type="http://schemas.openxmlformats.org/officeDocument/2006/relationships/ctrlProp" Target="../ctrlProps/ctrlProp63.xml"/><Relationship Id="rId8" Type="http://schemas.openxmlformats.org/officeDocument/2006/relationships/ctrlProp" Target="../ctrlProps/ctrlProp2.xml"/><Relationship Id="rId51" Type="http://schemas.openxmlformats.org/officeDocument/2006/relationships/ctrlProp" Target="../ctrlProps/ctrlProp45.xml"/><Relationship Id="rId72" Type="http://schemas.openxmlformats.org/officeDocument/2006/relationships/ctrlProp" Target="../ctrlProps/ctrlProp66.xml"/><Relationship Id="rId3" Type="http://schemas.openxmlformats.org/officeDocument/2006/relationships/hyperlink" Target="https://www.skogsstyrelsen.se/abin" TargetMode="External"/><Relationship Id="rId12" Type="http://schemas.openxmlformats.org/officeDocument/2006/relationships/ctrlProp" Target="../ctrlProps/ctrlProp6.xml"/><Relationship Id="rId17" Type="http://schemas.openxmlformats.org/officeDocument/2006/relationships/ctrlProp" Target="../ctrlProps/ctrlProp11.xml"/><Relationship Id="rId25" Type="http://schemas.openxmlformats.org/officeDocument/2006/relationships/ctrlProp" Target="../ctrlProps/ctrlProp19.xml"/><Relationship Id="rId33" Type="http://schemas.openxmlformats.org/officeDocument/2006/relationships/ctrlProp" Target="../ctrlProps/ctrlProp27.xml"/><Relationship Id="rId38" Type="http://schemas.openxmlformats.org/officeDocument/2006/relationships/ctrlProp" Target="../ctrlProps/ctrlProp32.xml"/><Relationship Id="rId46" Type="http://schemas.openxmlformats.org/officeDocument/2006/relationships/ctrlProp" Target="../ctrlProps/ctrlProp40.xml"/><Relationship Id="rId59" Type="http://schemas.openxmlformats.org/officeDocument/2006/relationships/ctrlProp" Target="../ctrlProps/ctrlProp53.xml"/><Relationship Id="rId67" Type="http://schemas.openxmlformats.org/officeDocument/2006/relationships/ctrlProp" Target="../ctrlProps/ctrlProp61.xml"/><Relationship Id="rId20" Type="http://schemas.openxmlformats.org/officeDocument/2006/relationships/ctrlProp" Target="../ctrlProps/ctrlProp14.xml"/><Relationship Id="rId41" Type="http://schemas.openxmlformats.org/officeDocument/2006/relationships/ctrlProp" Target="../ctrlProps/ctrlProp35.xml"/><Relationship Id="rId54" Type="http://schemas.openxmlformats.org/officeDocument/2006/relationships/ctrlProp" Target="../ctrlProps/ctrlProp48.xml"/><Relationship Id="rId62" Type="http://schemas.openxmlformats.org/officeDocument/2006/relationships/ctrlProp" Target="../ctrlProps/ctrlProp56.xml"/><Relationship Id="rId70" Type="http://schemas.openxmlformats.org/officeDocument/2006/relationships/ctrlProp" Target="../ctrlProps/ctrlProp64.xml"/><Relationship Id="rId75" Type="http://schemas.openxmlformats.org/officeDocument/2006/relationships/ctrlProp" Target="../ctrlProps/ctrlProp69.xml"/><Relationship Id="rId1" Type="http://schemas.openxmlformats.org/officeDocument/2006/relationships/hyperlink" Target="http://www.naturforvaltning.se/vad-vi-goer/aelgfrode.aspx" TargetMode="External"/><Relationship Id="rId6" Type="http://schemas.openxmlformats.org/officeDocument/2006/relationships/vmlDrawing" Target="../drawings/vmlDrawing1.vml"/><Relationship Id="rId15" Type="http://schemas.openxmlformats.org/officeDocument/2006/relationships/ctrlProp" Target="../ctrlProps/ctrlProp9.xml"/><Relationship Id="rId23" Type="http://schemas.openxmlformats.org/officeDocument/2006/relationships/ctrlProp" Target="../ctrlProps/ctrlProp17.xml"/><Relationship Id="rId28" Type="http://schemas.openxmlformats.org/officeDocument/2006/relationships/ctrlProp" Target="../ctrlProps/ctrlProp22.xml"/><Relationship Id="rId36" Type="http://schemas.openxmlformats.org/officeDocument/2006/relationships/ctrlProp" Target="../ctrlProps/ctrlProp30.xml"/><Relationship Id="rId49" Type="http://schemas.openxmlformats.org/officeDocument/2006/relationships/ctrlProp" Target="../ctrlProps/ctrlProp43.xml"/><Relationship Id="rId57" Type="http://schemas.openxmlformats.org/officeDocument/2006/relationships/ctrlProp" Target="../ctrlProps/ctrlProp51.xml"/><Relationship Id="rId10" Type="http://schemas.openxmlformats.org/officeDocument/2006/relationships/ctrlProp" Target="../ctrlProps/ctrlProp4.xml"/><Relationship Id="rId31" Type="http://schemas.openxmlformats.org/officeDocument/2006/relationships/ctrlProp" Target="../ctrlProps/ctrlProp25.xml"/><Relationship Id="rId44" Type="http://schemas.openxmlformats.org/officeDocument/2006/relationships/ctrlProp" Target="../ctrlProps/ctrlProp38.xml"/><Relationship Id="rId52" Type="http://schemas.openxmlformats.org/officeDocument/2006/relationships/ctrlProp" Target="../ctrlProps/ctrlProp46.xml"/><Relationship Id="rId60" Type="http://schemas.openxmlformats.org/officeDocument/2006/relationships/ctrlProp" Target="../ctrlProps/ctrlProp54.xml"/><Relationship Id="rId65" Type="http://schemas.openxmlformats.org/officeDocument/2006/relationships/ctrlProp" Target="../ctrlProps/ctrlProp59.xml"/><Relationship Id="rId73" Type="http://schemas.openxmlformats.org/officeDocument/2006/relationships/ctrlProp" Target="../ctrlProps/ctrlProp67.xml"/><Relationship Id="rId4" Type="http://schemas.openxmlformats.org/officeDocument/2006/relationships/printerSettings" Target="../printerSettings/printerSettings2.bin"/><Relationship Id="rId9" Type="http://schemas.openxmlformats.org/officeDocument/2006/relationships/ctrlProp" Target="../ctrlProps/ctrlProp3.xml"/><Relationship Id="rId13" Type="http://schemas.openxmlformats.org/officeDocument/2006/relationships/ctrlProp" Target="../ctrlProps/ctrlProp7.xml"/><Relationship Id="rId18" Type="http://schemas.openxmlformats.org/officeDocument/2006/relationships/ctrlProp" Target="../ctrlProps/ctrlProp12.xml"/><Relationship Id="rId39" Type="http://schemas.openxmlformats.org/officeDocument/2006/relationships/ctrlProp" Target="../ctrlProps/ctrlProp33.xml"/><Relationship Id="rId34" Type="http://schemas.openxmlformats.org/officeDocument/2006/relationships/ctrlProp" Target="../ctrlProps/ctrlProp28.xml"/><Relationship Id="rId50" Type="http://schemas.openxmlformats.org/officeDocument/2006/relationships/ctrlProp" Target="../ctrlProps/ctrlProp44.xml"/><Relationship Id="rId55" Type="http://schemas.openxmlformats.org/officeDocument/2006/relationships/ctrlProp" Target="../ctrlProps/ctrlProp49.xml"/><Relationship Id="rId76" Type="http://schemas.openxmlformats.org/officeDocument/2006/relationships/comments" Target="../comments1.xml"/><Relationship Id="rId7" Type="http://schemas.openxmlformats.org/officeDocument/2006/relationships/ctrlProp" Target="../ctrlProps/ctrlProp1.xml"/><Relationship Id="rId71" Type="http://schemas.openxmlformats.org/officeDocument/2006/relationships/ctrlProp" Target="../ctrlProps/ctrlProp65.xml"/></Relationships>
</file>

<file path=xl/worksheets/_rels/sheet5.xml.rels><?xml version="1.0" encoding="UTF-8" standalone="yes"?>
<Relationships xmlns="http://schemas.openxmlformats.org/package/2006/relationships"><Relationship Id="rId3" Type="http://schemas.openxmlformats.org/officeDocument/2006/relationships/ctrlProp" Target="../ctrlProps/ctrlProp70.xml"/><Relationship Id="rId2" Type="http://schemas.openxmlformats.org/officeDocument/2006/relationships/vmlDrawing" Target="../drawings/vmlDrawing2.vml"/><Relationship Id="rId1" Type="http://schemas.openxmlformats.org/officeDocument/2006/relationships/drawing" Target="../drawings/drawing2.xml"/><Relationship Id="rId4" Type="http://schemas.openxmlformats.org/officeDocument/2006/relationships/ctrlProp" Target="../ctrlProps/ctrlProp7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26" Type="http://schemas.openxmlformats.org/officeDocument/2006/relationships/ctrlProp" Target="../ctrlProps/ctrlProp95.xml"/><Relationship Id="rId21" Type="http://schemas.openxmlformats.org/officeDocument/2006/relationships/ctrlProp" Target="../ctrlProps/ctrlProp90.xml"/><Relationship Id="rId42" Type="http://schemas.openxmlformats.org/officeDocument/2006/relationships/ctrlProp" Target="../ctrlProps/ctrlProp111.xml"/><Relationship Id="rId47" Type="http://schemas.openxmlformats.org/officeDocument/2006/relationships/ctrlProp" Target="../ctrlProps/ctrlProp116.xml"/><Relationship Id="rId63" Type="http://schemas.openxmlformats.org/officeDocument/2006/relationships/ctrlProp" Target="../ctrlProps/ctrlProp132.xml"/><Relationship Id="rId68" Type="http://schemas.openxmlformats.org/officeDocument/2006/relationships/ctrlProp" Target="../ctrlProps/ctrlProp137.xml"/><Relationship Id="rId84" Type="http://schemas.openxmlformats.org/officeDocument/2006/relationships/ctrlProp" Target="../ctrlProps/ctrlProp153.xml"/><Relationship Id="rId89" Type="http://schemas.openxmlformats.org/officeDocument/2006/relationships/ctrlProp" Target="../ctrlProps/ctrlProp158.xml"/><Relationship Id="rId16" Type="http://schemas.openxmlformats.org/officeDocument/2006/relationships/ctrlProp" Target="../ctrlProps/ctrlProp85.xml"/><Relationship Id="rId11" Type="http://schemas.openxmlformats.org/officeDocument/2006/relationships/ctrlProp" Target="../ctrlProps/ctrlProp80.xml"/><Relationship Id="rId32" Type="http://schemas.openxmlformats.org/officeDocument/2006/relationships/ctrlProp" Target="../ctrlProps/ctrlProp101.xml"/><Relationship Id="rId37" Type="http://schemas.openxmlformats.org/officeDocument/2006/relationships/ctrlProp" Target="../ctrlProps/ctrlProp106.xml"/><Relationship Id="rId53" Type="http://schemas.openxmlformats.org/officeDocument/2006/relationships/ctrlProp" Target="../ctrlProps/ctrlProp122.xml"/><Relationship Id="rId58" Type="http://schemas.openxmlformats.org/officeDocument/2006/relationships/ctrlProp" Target="../ctrlProps/ctrlProp127.xml"/><Relationship Id="rId74" Type="http://schemas.openxmlformats.org/officeDocument/2006/relationships/ctrlProp" Target="../ctrlProps/ctrlProp143.xml"/><Relationship Id="rId79" Type="http://schemas.openxmlformats.org/officeDocument/2006/relationships/ctrlProp" Target="../ctrlProps/ctrlProp148.xml"/><Relationship Id="rId102" Type="http://schemas.openxmlformats.org/officeDocument/2006/relationships/ctrlProp" Target="../ctrlProps/ctrlProp171.xml"/><Relationship Id="rId5" Type="http://schemas.openxmlformats.org/officeDocument/2006/relationships/ctrlProp" Target="../ctrlProps/ctrlProp74.xml"/><Relationship Id="rId90" Type="http://schemas.openxmlformats.org/officeDocument/2006/relationships/ctrlProp" Target="../ctrlProps/ctrlProp159.xml"/><Relationship Id="rId95" Type="http://schemas.openxmlformats.org/officeDocument/2006/relationships/ctrlProp" Target="../ctrlProps/ctrlProp164.xml"/><Relationship Id="rId22" Type="http://schemas.openxmlformats.org/officeDocument/2006/relationships/ctrlProp" Target="../ctrlProps/ctrlProp91.xml"/><Relationship Id="rId27" Type="http://schemas.openxmlformats.org/officeDocument/2006/relationships/ctrlProp" Target="../ctrlProps/ctrlProp96.xml"/><Relationship Id="rId43" Type="http://schemas.openxmlformats.org/officeDocument/2006/relationships/ctrlProp" Target="../ctrlProps/ctrlProp112.xml"/><Relationship Id="rId48" Type="http://schemas.openxmlformats.org/officeDocument/2006/relationships/ctrlProp" Target="../ctrlProps/ctrlProp117.xml"/><Relationship Id="rId64" Type="http://schemas.openxmlformats.org/officeDocument/2006/relationships/ctrlProp" Target="../ctrlProps/ctrlProp133.xml"/><Relationship Id="rId69" Type="http://schemas.openxmlformats.org/officeDocument/2006/relationships/ctrlProp" Target="../ctrlProps/ctrlProp138.xml"/><Relationship Id="rId80" Type="http://schemas.openxmlformats.org/officeDocument/2006/relationships/ctrlProp" Target="../ctrlProps/ctrlProp149.xml"/><Relationship Id="rId85" Type="http://schemas.openxmlformats.org/officeDocument/2006/relationships/ctrlProp" Target="../ctrlProps/ctrlProp154.xml"/><Relationship Id="rId12" Type="http://schemas.openxmlformats.org/officeDocument/2006/relationships/ctrlProp" Target="../ctrlProps/ctrlProp81.xml"/><Relationship Id="rId17" Type="http://schemas.openxmlformats.org/officeDocument/2006/relationships/ctrlProp" Target="../ctrlProps/ctrlProp86.xml"/><Relationship Id="rId25" Type="http://schemas.openxmlformats.org/officeDocument/2006/relationships/ctrlProp" Target="../ctrlProps/ctrlProp94.xml"/><Relationship Id="rId33" Type="http://schemas.openxmlformats.org/officeDocument/2006/relationships/ctrlProp" Target="../ctrlProps/ctrlProp102.xml"/><Relationship Id="rId38" Type="http://schemas.openxmlformats.org/officeDocument/2006/relationships/ctrlProp" Target="../ctrlProps/ctrlProp107.xml"/><Relationship Id="rId46" Type="http://schemas.openxmlformats.org/officeDocument/2006/relationships/ctrlProp" Target="../ctrlProps/ctrlProp115.xml"/><Relationship Id="rId59" Type="http://schemas.openxmlformats.org/officeDocument/2006/relationships/ctrlProp" Target="../ctrlProps/ctrlProp128.xml"/><Relationship Id="rId67" Type="http://schemas.openxmlformats.org/officeDocument/2006/relationships/ctrlProp" Target="../ctrlProps/ctrlProp136.xml"/><Relationship Id="rId20" Type="http://schemas.openxmlformats.org/officeDocument/2006/relationships/ctrlProp" Target="../ctrlProps/ctrlProp89.xml"/><Relationship Id="rId41" Type="http://schemas.openxmlformats.org/officeDocument/2006/relationships/ctrlProp" Target="../ctrlProps/ctrlProp110.xml"/><Relationship Id="rId54" Type="http://schemas.openxmlformats.org/officeDocument/2006/relationships/ctrlProp" Target="../ctrlProps/ctrlProp123.xml"/><Relationship Id="rId62" Type="http://schemas.openxmlformats.org/officeDocument/2006/relationships/ctrlProp" Target="../ctrlProps/ctrlProp131.xml"/><Relationship Id="rId70" Type="http://schemas.openxmlformats.org/officeDocument/2006/relationships/ctrlProp" Target="../ctrlProps/ctrlProp139.xml"/><Relationship Id="rId75" Type="http://schemas.openxmlformats.org/officeDocument/2006/relationships/ctrlProp" Target="../ctrlProps/ctrlProp144.xml"/><Relationship Id="rId83" Type="http://schemas.openxmlformats.org/officeDocument/2006/relationships/ctrlProp" Target="../ctrlProps/ctrlProp152.xml"/><Relationship Id="rId88" Type="http://schemas.openxmlformats.org/officeDocument/2006/relationships/ctrlProp" Target="../ctrlProps/ctrlProp157.xml"/><Relationship Id="rId91" Type="http://schemas.openxmlformats.org/officeDocument/2006/relationships/ctrlProp" Target="../ctrlProps/ctrlProp160.xml"/><Relationship Id="rId96" Type="http://schemas.openxmlformats.org/officeDocument/2006/relationships/ctrlProp" Target="../ctrlProps/ctrlProp165.xml"/><Relationship Id="rId1" Type="http://schemas.openxmlformats.org/officeDocument/2006/relationships/drawing" Target="../drawings/drawing9.xml"/><Relationship Id="rId6" Type="http://schemas.openxmlformats.org/officeDocument/2006/relationships/ctrlProp" Target="../ctrlProps/ctrlProp75.xml"/><Relationship Id="rId15" Type="http://schemas.openxmlformats.org/officeDocument/2006/relationships/ctrlProp" Target="../ctrlProps/ctrlProp84.xml"/><Relationship Id="rId23" Type="http://schemas.openxmlformats.org/officeDocument/2006/relationships/ctrlProp" Target="../ctrlProps/ctrlProp92.xml"/><Relationship Id="rId28" Type="http://schemas.openxmlformats.org/officeDocument/2006/relationships/ctrlProp" Target="../ctrlProps/ctrlProp97.xml"/><Relationship Id="rId36" Type="http://schemas.openxmlformats.org/officeDocument/2006/relationships/ctrlProp" Target="../ctrlProps/ctrlProp105.xml"/><Relationship Id="rId49" Type="http://schemas.openxmlformats.org/officeDocument/2006/relationships/ctrlProp" Target="../ctrlProps/ctrlProp118.xml"/><Relationship Id="rId57" Type="http://schemas.openxmlformats.org/officeDocument/2006/relationships/ctrlProp" Target="../ctrlProps/ctrlProp126.xml"/><Relationship Id="rId10" Type="http://schemas.openxmlformats.org/officeDocument/2006/relationships/ctrlProp" Target="../ctrlProps/ctrlProp79.xml"/><Relationship Id="rId31" Type="http://schemas.openxmlformats.org/officeDocument/2006/relationships/ctrlProp" Target="../ctrlProps/ctrlProp100.xml"/><Relationship Id="rId44" Type="http://schemas.openxmlformats.org/officeDocument/2006/relationships/ctrlProp" Target="../ctrlProps/ctrlProp113.xml"/><Relationship Id="rId52" Type="http://schemas.openxmlformats.org/officeDocument/2006/relationships/ctrlProp" Target="../ctrlProps/ctrlProp121.xml"/><Relationship Id="rId60" Type="http://schemas.openxmlformats.org/officeDocument/2006/relationships/ctrlProp" Target="../ctrlProps/ctrlProp129.xml"/><Relationship Id="rId65" Type="http://schemas.openxmlformats.org/officeDocument/2006/relationships/ctrlProp" Target="../ctrlProps/ctrlProp134.xml"/><Relationship Id="rId73" Type="http://schemas.openxmlformats.org/officeDocument/2006/relationships/ctrlProp" Target="../ctrlProps/ctrlProp142.xml"/><Relationship Id="rId78" Type="http://schemas.openxmlformats.org/officeDocument/2006/relationships/ctrlProp" Target="../ctrlProps/ctrlProp147.xml"/><Relationship Id="rId81" Type="http://schemas.openxmlformats.org/officeDocument/2006/relationships/ctrlProp" Target="../ctrlProps/ctrlProp150.xml"/><Relationship Id="rId86" Type="http://schemas.openxmlformats.org/officeDocument/2006/relationships/ctrlProp" Target="../ctrlProps/ctrlProp155.xml"/><Relationship Id="rId94" Type="http://schemas.openxmlformats.org/officeDocument/2006/relationships/ctrlProp" Target="../ctrlProps/ctrlProp163.xml"/><Relationship Id="rId99" Type="http://schemas.openxmlformats.org/officeDocument/2006/relationships/ctrlProp" Target="../ctrlProps/ctrlProp168.xml"/><Relationship Id="rId101" Type="http://schemas.openxmlformats.org/officeDocument/2006/relationships/ctrlProp" Target="../ctrlProps/ctrlProp170.xml"/><Relationship Id="rId4" Type="http://schemas.openxmlformats.org/officeDocument/2006/relationships/ctrlProp" Target="../ctrlProps/ctrlProp73.xml"/><Relationship Id="rId9" Type="http://schemas.openxmlformats.org/officeDocument/2006/relationships/ctrlProp" Target="../ctrlProps/ctrlProp78.xml"/><Relationship Id="rId13" Type="http://schemas.openxmlformats.org/officeDocument/2006/relationships/ctrlProp" Target="../ctrlProps/ctrlProp82.xml"/><Relationship Id="rId18" Type="http://schemas.openxmlformats.org/officeDocument/2006/relationships/ctrlProp" Target="../ctrlProps/ctrlProp87.xml"/><Relationship Id="rId39" Type="http://schemas.openxmlformats.org/officeDocument/2006/relationships/ctrlProp" Target="../ctrlProps/ctrlProp108.xml"/><Relationship Id="rId34" Type="http://schemas.openxmlformats.org/officeDocument/2006/relationships/ctrlProp" Target="../ctrlProps/ctrlProp103.xml"/><Relationship Id="rId50" Type="http://schemas.openxmlformats.org/officeDocument/2006/relationships/ctrlProp" Target="../ctrlProps/ctrlProp119.xml"/><Relationship Id="rId55" Type="http://schemas.openxmlformats.org/officeDocument/2006/relationships/ctrlProp" Target="../ctrlProps/ctrlProp124.xml"/><Relationship Id="rId76" Type="http://schemas.openxmlformats.org/officeDocument/2006/relationships/ctrlProp" Target="../ctrlProps/ctrlProp145.xml"/><Relationship Id="rId97" Type="http://schemas.openxmlformats.org/officeDocument/2006/relationships/ctrlProp" Target="../ctrlProps/ctrlProp166.xml"/><Relationship Id="rId7" Type="http://schemas.openxmlformats.org/officeDocument/2006/relationships/ctrlProp" Target="../ctrlProps/ctrlProp76.xml"/><Relationship Id="rId71" Type="http://schemas.openxmlformats.org/officeDocument/2006/relationships/ctrlProp" Target="../ctrlProps/ctrlProp140.xml"/><Relationship Id="rId92" Type="http://schemas.openxmlformats.org/officeDocument/2006/relationships/ctrlProp" Target="../ctrlProps/ctrlProp161.xml"/><Relationship Id="rId2" Type="http://schemas.openxmlformats.org/officeDocument/2006/relationships/vmlDrawing" Target="../drawings/vmlDrawing4.vml"/><Relationship Id="rId29" Type="http://schemas.openxmlformats.org/officeDocument/2006/relationships/ctrlProp" Target="../ctrlProps/ctrlProp98.xml"/><Relationship Id="rId24" Type="http://schemas.openxmlformats.org/officeDocument/2006/relationships/ctrlProp" Target="../ctrlProps/ctrlProp93.xml"/><Relationship Id="rId40" Type="http://schemas.openxmlformats.org/officeDocument/2006/relationships/ctrlProp" Target="../ctrlProps/ctrlProp109.xml"/><Relationship Id="rId45" Type="http://schemas.openxmlformats.org/officeDocument/2006/relationships/ctrlProp" Target="../ctrlProps/ctrlProp114.xml"/><Relationship Id="rId66" Type="http://schemas.openxmlformats.org/officeDocument/2006/relationships/ctrlProp" Target="../ctrlProps/ctrlProp135.xml"/><Relationship Id="rId87" Type="http://schemas.openxmlformats.org/officeDocument/2006/relationships/ctrlProp" Target="../ctrlProps/ctrlProp156.xml"/><Relationship Id="rId61" Type="http://schemas.openxmlformats.org/officeDocument/2006/relationships/ctrlProp" Target="../ctrlProps/ctrlProp130.xml"/><Relationship Id="rId82" Type="http://schemas.openxmlformats.org/officeDocument/2006/relationships/ctrlProp" Target="../ctrlProps/ctrlProp151.xml"/><Relationship Id="rId19" Type="http://schemas.openxmlformats.org/officeDocument/2006/relationships/ctrlProp" Target="../ctrlProps/ctrlProp88.xml"/><Relationship Id="rId14" Type="http://schemas.openxmlformats.org/officeDocument/2006/relationships/ctrlProp" Target="../ctrlProps/ctrlProp83.xml"/><Relationship Id="rId30" Type="http://schemas.openxmlformats.org/officeDocument/2006/relationships/ctrlProp" Target="../ctrlProps/ctrlProp99.xml"/><Relationship Id="rId35" Type="http://schemas.openxmlformats.org/officeDocument/2006/relationships/ctrlProp" Target="../ctrlProps/ctrlProp104.xml"/><Relationship Id="rId56" Type="http://schemas.openxmlformats.org/officeDocument/2006/relationships/ctrlProp" Target="../ctrlProps/ctrlProp125.xml"/><Relationship Id="rId77" Type="http://schemas.openxmlformats.org/officeDocument/2006/relationships/ctrlProp" Target="../ctrlProps/ctrlProp146.xml"/><Relationship Id="rId100" Type="http://schemas.openxmlformats.org/officeDocument/2006/relationships/ctrlProp" Target="../ctrlProps/ctrlProp169.xml"/><Relationship Id="rId8" Type="http://schemas.openxmlformats.org/officeDocument/2006/relationships/ctrlProp" Target="../ctrlProps/ctrlProp77.xml"/><Relationship Id="rId51" Type="http://schemas.openxmlformats.org/officeDocument/2006/relationships/ctrlProp" Target="../ctrlProps/ctrlProp120.xml"/><Relationship Id="rId72" Type="http://schemas.openxmlformats.org/officeDocument/2006/relationships/ctrlProp" Target="../ctrlProps/ctrlProp141.xml"/><Relationship Id="rId93" Type="http://schemas.openxmlformats.org/officeDocument/2006/relationships/ctrlProp" Target="../ctrlProps/ctrlProp162.xml"/><Relationship Id="rId98" Type="http://schemas.openxmlformats.org/officeDocument/2006/relationships/ctrlProp" Target="../ctrlProps/ctrlProp167.xml"/><Relationship Id="rId3" Type="http://schemas.openxmlformats.org/officeDocument/2006/relationships/ctrlProp" Target="../ctrlProps/ctrlProp7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dimension ref="A1:F26"/>
  <sheetViews>
    <sheetView tabSelected="1" workbookViewId="0">
      <selection activeCell="D26" sqref="D26"/>
    </sheetView>
  </sheetViews>
  <sheetFormatPr defaultRowHeight="15" x14ac:dyDescent="0.25"/>
  <cols>
    <col min="1" max="1" width="72.140625" bestFit="1" customWidth="1"/>
    <col min="2" max="3" width="9.140625" customWidth="1"/>
    <col min="4" max="4" width="32.140625" bestFit="1" customWidth="1"/>
    <col min="5" max="5" width="102" bestFit="1" customWidth="1"/>
    <col min="6" max="6" width="20.140625" bestFit="1" customWidth="1"/>
  </cols>
  <sheetData>
    <row r="1" spans="1:6" ht="18.75" customHeight="1" x14ac:dyDescent="0.3">
      <c r="A1" s="89" t="s">
        <v>0</v>
      </c>
      <c r="D1" s="149" t="s">
        <v>1</v>
      </c>
      <c r="E1" s="149" t="s">
        <v>2</v>
      </c>
      <c r="F1" s="149" t="s">
        <v>3</v>
      </c>
    </row>
    <row r="2" spans="1:6" ht="18.75" customHeight="1" x14ac:dyDescent="0.3">
      <c r="A2" s="89"/>
      <c r="D2" t="s">
        <v>4</v>
      </c>
      <c r="E2" t="s">
        <v>5</v>
      </c>
      <c r="F2" t="s">
        <v>6</v>
      </c>
    </row>
    <row r="3" spans="1:6" x14ac:dyDescent="0.25">
      <c r="A3" s="17" t="s">
        <v>7</v>
      </c>
      <c r="E3" t="s">
        <v>8</v>
      </c>
      <c r="F3" t="s">
        <v>9</v>
      </c>
    </row>
    <row r="4" spans="1:6" x14ac:dyDescent="0.25">
      <c r="A4" s="187" t="s">
        <v>10</v>
      </c>
      <c r="E4" t="s">
        <v>11</v>
      </c>
      <c r="F4" t="s">
        <v>12</v>
      </c>
    </row>
    <row r="5" spans="1:6" x14ac:dyDescent="0.25">
      <c r="A5" s="188" t="s">
        <v>13</v>
      </c>
      <c r="E5" t="s">
        <v>14</v>
      </c>
      <c r="F5" t="s">
        <v>15</v>
      </c>
    </row>
    <row r="6" spans="1:6" x14ac:dyDescent="0.25">
      <c r="A6" s="189" t="s">
        <v>16</v>
      </c>
      <c r="E6" t="s">
        <v>17</v>
      </c>
      <c r="F6" t="s">
        <v>18</v>
      </c>
    </row>
    <row r="7" spans="1:6" x14ac:dyDescent="0.25">
      <c r="A7" s="190" t="s">
        <v>19</v>
      </c>
      <c r="E7" t="s">
        <v>20</v>
      </c>
      <c r="F7" t="s">
        <v>21</v>
      </c>
    </row>
    <row r="8" spans="1:6" x14ac:dyDescent="0.25">
      <c r="A8" s="191" t="s">
        <v>22</v>
      </c>
      <c r="E8" t="s">
        <v>23</v>
      </c>
      <c r="F8" t="s">
        <v>24</v>
      </c>
    </row>
    <row r="9" spans="1:6" x14ac:dyDescent="0.25">
      <c r="A9" s="16" t="s">
        <v>25</v>
      </c>
      <c r="E9" t="s">
        <v>26</v>
      </c>
      <c r="F9" t="s">
        <v>27</v>
      </c>
    </row>
    <row r="10" spans="1:6" x14ac:dyDescent="0.25">
      <c r="A10" s="11"/>
    </row>
    <row r="11" spans="1:6" ht="30" customHeight="1" x14ac:dyDescent="0.25">
      <c r="A11" s="17" t="s">
        <v>28</v>
      </c>
      <c r="D11" t="s">
        <v>29</v>
      </c>
      <c r="E11" t="s">
        <v>30</v>
      </c>
      <c r="F11" t="s">
        <v>24</v>
      </c>
    </row>
    <row r="12" spans="1:6" x14ac:dyDescent="0.25">
      <c r="A12" s="11"/>
      <c r="E12" t="s">
        <v>31</v>
      </c>
      <c r="F12" t="s">
        <v>27</v>
      </c>
    </row>
    <row r="13" spans="1:6" ht="30" customHeight="1" x14ac:dyDescent="0.25">
      <c r="A13" s="17" t="s">
        <v>32</v>
      </c>
      <c r="E13" t="s">
        <v>33</v>
      </c>
      <c r="F13" t="s">
        <v>6</v>
      </c>
    </row>
    <row r="14" spans="1:6" x14ac:dyDescent="0.25">
      <c r="A14" s="11"/>
      <c r="D14" t="s">
        <v>34</v>
      </c>
      <c r="E14" t="s">
        <v>35</v>
      </c>
      <c r="F14" t="s">
        <v>18</v>
      </c>
    </row>
    <row r="15" spans="1:6" x14ac:dyDescent="0.25">
      <c r="A15" s="15" t="s">
        <v>36</v>
      </c>
      <c r="E15" t="s">
        <v>37</v>
      </c>
      <c r="F15" t="s">
        <v>18</v>
      </c>
    </row>
    <row r="16" spans="1:6" x14ac:dyDescent="0.25">
      <c r="A16" s="14" t="s">
        <v>38</v>
      </c>
      <c r="E16" t="s">
        <v>39</v>
      </c>
      <c r="F16" t="s">
        <v>40</v>
      </c>
    </row>
    <row r="17" spans="1:6" x14ac:dyDescent="0.25">
      <c r="A17" s="14" t="s">
        <v>41</v>
      </c>
      <c r="E17" t="s">
        <v>42</v>
      </c>
      <c r="F17" t="s">
        <v>43</v>
      </c>
    </row>
    <row r="18" spans="1:6" ht="45" customHeight="1" x14ac:dyDescent="0.25">
      <c r="A18" s="13" t="s">
        <v>44</v>
      </c>
      <c r="E18" t="s">
        <v>42</v>
      </c>
      <c r="F18" t="s">
        <v>45</v>
      </c>
    </row>
    <row r="19" spans="1:6" ht="30" customHeight="1" x14ac:dyDescent="0.25">
      <c r="A19" s="14" t="s">
        <v>46</v>
      </c>
      <c r="E19" t="s">
        <v>47</v>
      </c>
      <c r="F19" t="s">
        <v>48</v>
      </c>
    </row>
    <row r="20" spans="1:6" x14ac:dyDescent="0.25">
      <c r="A20" s="14" t="s">
        <v>49</v>
      </c>
      <c r="E20" t="s">
        <v>50</v>
      </c>
      <c r="F20" t="s">
        <v>51</v>
      </c>
    </row>
    <row r="21" spans="1:6" ht="30" customHeight="1" x14ac:dyDescent="0.25">
      <c r="A21" s="14" t="s">
        <v>52</v>
      </c>
      <c r="D21" t="s">
        <v>53</v>
      </c>
      <c r="E21" t="s">
        <v>54</v>
      </c>
      <c r="F21" t="s">
        <v>55</v>
      </c>
    </row>
    <row r="22" spans="1:6" x14ac:dyDescent="0.25">
      <c r="A22" s="11"/>
    </row>
    <row r="23" spans="1:6" x14ac:dyDescent="0.25">
      <c r="A23" s="15" t="s">
        <v>56</v>
      </c>
      <c r="D23" t="s">
        <v>57</v>
      </c>
      <c r="E23" t="s">
        <v>58</v>
      </c>
      <c r="F23" t="s">
        <v>40</v>
      </c>
    </row>
    <row r="24" spans="1:6" ht="45" customHeight="1" x14ac:dyDescent="0.25">
      <c r="A24" s="11" t="s">
        <v>59</v>
      </c>
      <c r="D24" t="s">
        <v>60</v>
      </c>
      <c r="E24" t="s">
        <v>61</v>
      </c>
      <c r="F24" t="s">
        <v>27</v>
      </c>
    </row>
    <row r="25" spans="1:6" ht="30" customHeight="1" x14ac:dyDescent="0.25">
      <c r="A25" s="11" t="s">
        <v>62</v>
      </c>
    </row>
    <row r="26" spans="1:6" x14ac:dyDescent="0.25">
      <c r="A26" s="12" t="s">
        <v>63</v>
      </c>
    </row>
  </sheetData>
  <sheetProtection algorithmName="SHA-512" hashValue="TMYv0ZATQTJfa053lj71JXlukZr0/BOBDi7vA7Vavv+VpxBHMmhffFHkmxA43gOiWp9BfttkkecdLEwGvdHvfQ==" saltValue="HSfWgqAy9dmL7S9xlBHASg==" spinCount="100000" sheet="1" objects="1"/>
  <hyperlinks>
    <hyperlink ref="A26" r:id="rId1" xr:uid="{00000000-0004-0000-0000-000000000000}"/>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dimension ref="A1:A22"/>
  <sheetViews>
    <sheetView workbookViewId="0">
      <selection activeCell="A25" sqref="A25"/>
    </sheetView>
  </sheetViews>
  <sheetFormatPr defaultRowHeight="15" x14ac:dyDescent="0.25"/>
  <cols>
    <col min="1" max="1" width="106.7109375" customWidth="1"/>
  </cols>
  <sheetData>
    <row r="1" spans="1:1" x14ac:dyDescent="0.25">
      <c r="A1" s="149" t="s">
        <v>64</v>
      </c>
    </row>
    <row r="3" spans="1:1" ht="45" customHeight="1" x14ac:dyDescent="0.25">
      <c r="A3" s="11" t="s">
        <v>65</v>
      </c>
    </row>
    <row r="4" spans="1:1" x14ac:dyDescent="0.25">
      <c r="A4" s="11" t="s">
        <v>66</v>
      </c>
    </row>
    <row r="5" spans="1:1" x14ac:dyDescent="0.25">
      <c r="A5" s="11" t="s">
        <v>67</v>
      </c>
    </row>
    <row r="6" spans="1:1" x14ac:dyDescent="0.25">
      <c r="A6" s="11" t="s">
        <v>68</v>
      </c>
    </row>
    <row r="7" spans="1:1" ht="30" customHeight="1" x14ac:dyDescent="0.25">
      <c r="A7" s="11" t="s">
        <v>69</v>
      </c>
    </row>
    <row r="8" spans="1:1" ht="30" customHeight="1" x14ac:dyDescent="0.25">
      <c r="A8" s="11" t="s">
        <v>70</v>
      </c>
    </row>
    <row r="9" spans="1:1" ht="30" customHeight="1" x14ac:dyDescent="0.25">
      <c r="A9" s="11" t="s">
        <v>71</v>
      </c>
    </row>
    <row r="10" spans="1:1" x14ac:dyDescent="0.25">
      <c r="A10" s="11" t="s">
        <v>72</v>
      </c>
    </row>
    <row r="11" spans="1:1" x14ac:dyDescent="0.25">
      <c r="A11" s="11" t="s">
        <v>73</v>
      </c>
    </row>
    <row r="12" spans="1:1" x14ac:dyDescent="0.25">
      <c r="A12" s="11" t="s">
        <v>74</v>
      </c>
    </row>
    <row r="13" spans="1:1" ht="75" customHeight="1" x14ac:dyDescent="0.25">
      <c r="A13" s="11" t="s">
        <v>75</v>
      </c>
    </row>
    <row r="14" spans="1:1" x14ac:dyDescent="0.25">
      <c r="A14" s="11" t="s">
        <v>76</v>
      </c>
    </row>
    <row r="15" spans="1:1" ht="57" customHeight="1" x14ac:dyDescent="0.25">
      <c r="A15" s="11" t="s">
        <v>77</v>
      </c>
    </row>
    <row r="17" spans="1:1" ht="45" customHeight="1" x14ac:dyDescent="0.25">
      <c r="A17" s="11" t="s">
        <v>78</v>
      </c>
    </row>
    <row r="19" spans="1:1" ht="45" customHeight="1" x14ac:dyDescent="0.25">
      <c r="A19" s="11" t="s">
        <v>79</v>
      </c>
    </row>
    <row r="21" spans="1:1" ht="30" customHeight="1" x14ac:dyDescent="0.25">
      <c r="A21" s="11" t="s">
        <v>80</v>
      </c>
    </row>
    <row r="22" spans="1:1" x14ac:dyDescent="0.25">
      <c r="A22" s="184" t="s">
        <v>81</v>
      </c>
    </row>
  </sheetData>
  <sheetProtection algorithmName="SHA-512" hashValue="bR/ZuE6TmLj9gkLwvJKjavp5V66w1GlJYZtVIuEvRQHxd47XGu2baeYUnl+dXUUpFIbMvrs/s+q1b5kYaf2DOw==" saltValue="9xzRv9QGm06a3pyjcMsyKQ==" spinCount="100000" sheet="1" objects="1"/>
  <hyperlinks>
    <hyperlink ref="A22" r:id="rId1" xr:uid="{00000000-0004-0000-0100-000000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4"/>
  <dimension ref="A1:E30"/>
  <sheetViews>
    <sheetView workbookViewId="0">
      <selection activeCell="A19" sqref="A19 A19:B19"/>
    </sheetView>
  </sheetViews>
  <sheetFormatPr defaultColWidth="9.85546875" defaultRowHeight="15" x14ac:dyDescent="0.25"/>
  <cols>
    <col min="1" max="1" width="32.42578125" customWidth="1"/>
    <col min="2" max="2" width="9.140625" customWidth="1"/>
  </cols>
  <sheetData>
    <row r="1" spans="1:4" ht="26.25" customHeight="1" x14ac:dyDescent="0.4">
      <c r="A1" s="92" t="s">
        <v>82</v>
      </c>
    </row>
    <row r="3" spans="1:4" ht="18.75" customHeight="1" x14ac:dyDescent="0.3">
      <c r="A3" s="89" t="s">
        <v>83</v>
      </c>
      <c r="B3" s="89"/>
    </row>
    <row r="4" spans="1:4" ht="18.75" customHeight="1" x14ac:dyDescent="0.3">
      <c r="A4" s="89"/>
      <c r="B4" s="93"/>
      <c r="C4" s="93"/>
      <c r="D4" s="89"/>
    </row>
    <row r="5" spans="1:4" ht="18.75" customHeight="1" x14ac:dyDescent="0.3">
      <c r="A5" s="89"/>
      <c r="B5" s="89"/>
      <c r="C5" s="93"/>
      <c r="D5" s="89"/>
    </row>
    <row r="6" spans="1:4" ht="18.75" customHeight="1" x14ac:dyDescent="0.3">
      <c r="A6" s="89"/>
      <c r="B6" s="89"/>
    </row>
    <row r="7" spans="1:4" ht="18.75" customHeight="1" x14ac:dyDescent="0.3">
      <c r="A7" s="89" t="s">
        <v>84</v>
      </c>
      <c r="B7" s="89"/>
    </row>
    <row r="8" spans="1:4" ht="18.75" customHeight="1" x14ac:dyDescent="0.3">
      <c r="A8" s="89" t="s">
        <v>85</v>
      </c>
      <c r="B8" s="89"/>
    </row>
    <row r="9" spans="1:4" ht="18.75" customHeight="1" x14ac:dyDescent="0.3">
      <c r="A9" s="89"/>
      <c r="B9" s="89"/>
    </row>
    <row r="10" spans="1:4" ht="18.75" customHeight="1" x14ac:dyDescent="0.3">
      <c r="A10" s="89" t="s">
        <v>86</v>
      </c>
      <c r="B10" s="89"/>
    </row>
    <row r="11" spans="1:4" ht="18.75" customHeight="1" x14ac:dyDescent="0.3">
      <c r="A11" s="93" t="s">
        <v>87</v>
      </c>
      <c r="B11" s="89"/>
    </row>
    <row r="12" spans="1:4" ht="18.75" customHeight="1" x14ac:dyDescent="0.3">
      <c r="A12" s="93"/>
      <c r="B12" s="89"/>
    </row>
    <row r="13" spans="1:4" ht="18.75" customHeight="1" x14ac:dyDescent="0.3">
      <c r="A13" s="93" t="s">
        <v>88</v>
      </c>
      <c r="B13" s="89"/>
    </row>
    <row r="14" spans="1:4" x14ac:dyDescent="0.25">
      <c r="B14" s="94"/>
      <c r="C14" s="91"/>
      <c r="D14" s="91"/>
    </row>
    <row r="15" spans="1:4" ht="15" customHeight="1" x14ac:dyDescent="0.25">
      <c r="A15" s="314" t="s">
        <v>89</v>
      </c>
      <c r="B15" s="315"/>
      <c r="C15" s="315"/>
      <c r="D15" s="315"/>
    </row>
    <row r="17" spans="1:5" x14ac:dyDescent="0.25">
      <c r="A17" s="91" t="s">
        <v>90</v>
      </c>
      <c r="B17" s="94"/>
      <c r="C17" s="91"/>
      <c r="D17" s="91"/>
    </row>
    <row r="18" spans="1:5" x14ac:dyDescent="0.25">
      <c r="A18" s="95" t="s">
        <v>91</v>
      </c>
      <c r="B18" s="94"/>
      <c r="C18" s="91"/>
      <c r="D18" s="95" t="s">
        <v>92</v>
      </c>
    </row>
    <row r="19" spans="1:5" x14ac:dyDescent="0.25">
      <c r="A19" s="316"/>
      <c r="B19" s="317"/>
      <c r="C19" s="91"/>
      <c r="D19" s="312"/>
      <c r="E19" s="313"/>
    </row>
    <row r="20" spans="1:5" x14ac:dyDescent="0.25">
      <c r="A20" s="95" t="s">
        <v>91</v>
      </c>
      <c r="B20" s="94"/>
      <c r="C20" s="91"/>
      <c r="D20" s="95" t="s">
        <v>93</v>
      </c>
    </row>
    <row r="21" spans="1:5" x14ac:dyDescent="0.25">
      <c r="A21" s="316"/>
      <c r="B21" s="317"/>
      <c r="C21" s="91"/>
      <c r="D21" s="312"/>
      <c r="E21" s="313"/>
    </row>
    <row r="22" spans="1:5" x14ac:dyDescent="0.25">
      <c r="A22" s="95" t="s">
        <v>94</v>
      </c>
      <c r="B22" s="94"/>
      <c r="C22" s="91"/>
      <c r="D22" s="95" t="s">
        <v>95</v>
      </c>
    </row>
    <row r="23" spans="1:5" x14ac:dyDescent="0.25">
      <c r="A23" s="312"/>
      <c r="B23" s="313"/>
      <c r="C23" s="91"/>
      <c r="D23" s="312"/>
      <c r="E23" s="313"/>
    </row>
    <row r="24" spans="1:5" x14ac:dyDescent="0.25">
      <c r="A24" s="95" t="s">
        <v>96</v>
      </c>
      <c r="B24" s="94"/>
      <c r="C24" s="91"/>
      <c r="D24" s="91"/>
    </row>
    <row r="25" spans="1:5" x14ac:dyDescent="0.25">
      <c r="A25" s="312"/>
      <c r="B25" s="313"/>
      <c r="C25" s="91"/>
      <c r="D25" s="91"/>
    </row>
    <row r="26" spans="1:5" x14ac:dyDescent="0.25">
      <c r="A26" s="95" t="s">
        <v>97</v>
      </c>
      <c r="B26" s="94"/>
      <c r="C26" s="91"/>
      <c r="D26" s="91"/>
    </row>
    <row r="27" spans="1:5" x14ac:dyDescent="0.25">
      <c r="A27" s="312"/>
      <c r="B27" s="313"/>
      <c r="C27" s="91"/>
      <c r="D27" s="91"/>
    </row>
    <row r="28" spans="1:5" x14ac:dyDescent="0.25">
      <c r="A28" s="95" t="s">
        <v>98</v>
      </c>
      <c r="B28" s="94"/>
      <c r="C28" s="91"/>
      <c r="D28" s="91"/>
    </row>
    <row r="29" spans="1:5" x14ac:dyDescent="0.25">
      <c r="A29" s="312"/>
      <c r="B29" s="313"/>
      <c r="C29" s="91"/>
      <c r="D29" s="91"/>
    </row>
    <row r="30" spans="1:5" x14ac:dyDescent="0.25">
      <c r="A30" s="91"/>
      <c r="B30" s="91"/>
      <c r="C30" s="91"/>
      <c r="D30" s="91"/>
    </row>
  </sheetData>
  <sheetProtection algorithmName="SHA-512" hashValue="Yj/xQ3y1L8XaCDG+hicUU8/qnzSLmoeXFzuJBbPWMFDnxzxSbA83t0AgkCKqS5cJUh4LVbnsW+1wrHqsywo4KQ==" saltValue="rOeydAgE/BYtCx4naeBl5A==" spinCount="100000" sheet="1" objects="1"/>
  <mergeCells count="10">
    <mergeCell ref="A15:D15"/>
    <mergeCell ref="A19:B19"/>
    <mergeCell ref="D19:E19"/>
    <mergeCell ref="A21:B21"/>
    <mergeCell ref="D21:E21"/>
    <mergeCell ref="A23:B23"/>
    <mergeCell ref="D23:E23"/>
    <mergeCell ref="A25:B25"/>
    <mergeCell ref="A27:B27"/>
    <mergeCell ref="A29:B29"/>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3"/>
  <dimension ref="A1:M407"/>
  <sheetViews>
    <sheetView topLeftCell="A77" zoomScale="110" zoomScaleNormal="110" zoomScalePageLayoutView="70" workbookViewId="0">
      <selection activeCell="J96" sqref="J1:J1048576"/>
    </sheetView>
  </sheetViews>
  <sheetFormatPr defaultColWidth="9.140625" defaultRowHeight="21" customHeight="1" x14ac:dyDescent="0.25"/>
  <cols>
    <col min="1" max="1" width="34.140625" style="96" customWidth="1"/>
    <col min="2" max="2" width="13.7109375" style="96" customWidth="1"/>
    <col min="3" max="3" width="14" style="96" customWidth="1"/>
    <col min="4" max="8" width="13.7109375" style="96" customWidth="1"/>
    <col min="9" max="9" width="4.5703125" style="96" customWidth="1"/>
    <col min="10" max="10" width="131" style="9" customWidth="1"/>
    <col min="11" max="11" width="14.5703125" style="96" customWidth="1"/>
    <col min="12" max="12" width="12.42578125" style="96" customWidth="1"/>
    <col min="13" max="13" width="14.28515625" style="96" customWidth="1"/>
    <col min="14" max="14" width="9.140625" style="96" customWidth="1"/>
    <col min="15" max="15" width="12.140625" style="96" customWidth="1"/>
    <col min="16" max="16" width="14.7109375" style="96" customWidth="1"/>
    <col min="17" max="17" width="15.5703125" style="96" customWidth="1"/>
    <col min="18" max="18" width="9.140625" style="96" customWidth="1"/>
    <col min="19" max="16384" width="9.140625" style="96"/>
  </cols>
  <sheetData>
    <row r="1" spans="1:11" customFormat="1" ht="21" customHeight="1" x14ac:dyDescent="0.25">
      <c r="A1" s="99" t="s">
        <v>99</v>
      </c>
      <c r="C1" s="316" t="str">
        <f>SourceData!B1</f>
        <v>Stora Sävsjöns älg- och kronhjortsskötselområde</v>
      </c>
      <c r="D1" s="374"/>
      <c r="E1" s="317"/>
      <c r="J1" s="375" t="s">
        <v>100</v>
      </c>
      <c r="K1" s="375"/>
    </row>
    <row r="2" spans="1:11" customFormat="1" ht="21" customHeight="1" x14ac:dyDescent="0.25">
      <c r="A2" s="91"/>
      <c r="B2" s="91"/>
      <c r="D2" s="91"/>
      <c r="E2" s="91"/>
    </row>
    <row r="3" spans="1:11" customFormat="1" ht="66" customHeight="1" x14ac:dyDescent="0.25">
      <c r="A3" s="97" t="s">
        <v>101</v>
      </c>
      <c r="B3" s="97"/>
      <c r="C3" s="98"/>
      <c r="D3" s="98"/>
      <c r="E3" s="98"/>
    </row>
    <row r="4" spans="1:11" customFormat="1" ht="21" customHeight="1" x14ac:dyDescent="0.25">
      <c r="A4" s="97" t="s">
        <v>102</v>
      </c>
      <c r="B4" s="97"/>
      <c r="C4" s="98"/>
      <c r="D4" s="98"/>
      <c r="E4" s="98"/>
    </row>
    <row r="5" spans="1:11" customFormat="1" ht="21" customHeight="1" x14ac:dyDescent="0.25">
      <c r="A5" s="91"/>
      <c r="B5" s="91"/>
      <c r="C5" s="94"/>
      <c r="E5" s="192"/>
    </row>
    <row r="6" spans="1:11" customFormat="1" ht="21" customHeight="1" x14ac:dyDescent="0.25">
      <c r="A6" s="100" t="s">
        <v>103</v>
      </c>
      <c r="B6" s="100"/>
      <c r="C6" s="193">
        <v>45447</v>
      </c>
      <c r="J6" s="9" t="s">
        <v>104</v>
      </c>
    </row>
    <row r="7" spans="1:11" customFormat="1" ht="21" customHeight="1" x14ac:dyDescent="0.25">
      <c r="A7" s="100"/>
      <c r="B7" s="100"/>
      <c r="C7" s="25"/>
      <c r="D7" s="25"/>
      <c r="E7" s="25"/>
    </row>
    <row r="8" spans="1:11" customFormat="1" ht="21" customHeight="1" x14ac:dyDescent="0.25">
      <c r="A8" s="96" t="s">
        <v>87</v>
      </c>
      <c r="C8" s="10" t="s">
        <v>1334</v>
      </c>
      <c r="D8" s="40"/>
      <c r="E8" s="41"/>
      <c r="J8" s="9" t="s">
        <v>105</v>
      </c>
    </row>
    <row r="9" spans="1:11" customFormat="1" ht="21" customHeight="1" x14ac:dyDescent="0.25">
      <c r="A9" s="96" t="s">
        <v>106</v>
      </c>
      <c r="C9" s="194">
        <f>SourceData!B3</f>
        <v>2024</v>
      </c>
      <c r="D9" s="27" t="s">
        <v>85</v>
      </c>
      <c r="E9" s="194">
        <f>SourceData!B4</f>
        <v>2026</v>
      </c>
      <c r="J9" s="9" t="s">
        <v>107</v>
      </c>
    </row>
    <row r="10" spans="1:11" customFormat="1" ht="21" customHeight="1" x14ac:dyDescent="0.25">
      <c r="A10" s="96" t="s">
        <v>108</v>
      </c>
      <c r="C10" s="376"/>
      <c r="D10" s="377"/>
      <c r="E10" s="378"/>
      <c r="J10" s="9" t="s">
        <v>109</v>
      </c>
    </row>
    <row r="11" spans="1:11" customFormat="1" ht="21" customHeight="1" x14ac:dyDescent="0.25">
      <c r="A11" s="96" t="s">
        <v>110</v>
      </c>
      <c r="C11" s="379"/>
      <c r="D11" s="380"/>
      <c r="E11" s="381"/>
      <c r="J11" s="9" t="s">
        <v>111</v>
      </c>
    </row>
    <row r="12" spans="1:11" customFormat="1" ht="51.75" customHeight="1" x14ac:dyDescent="0.3">
      <c r="A12" s="93" t="s">
        <v>112</v>
      </c>
      <c r="C12" s="195">
        <v>11054</v>
      </c>
      <c r="D12" s="42"/>
      <c r="E12" s="43"/>
      <c r="J12" s="9" t="s">
        <v>113</v>
      </c>
    </row>
    <row r="13" spans="1:11" customFormat="1" ht="21" customHeight="1" x14ac:dyDescent="0.25">
      <c r="A13" s="95" t="s">
        <v>114</v>
      </c>
      <c r="B13" s="95"/>
      <c r="C13" s="196"/>
      <c r="D13" s="382" t="s">
        <v>115</v>
      </c>
      <c r="E13" s="383"/>
    </row>
    <row r="14" spans="1:11" customFormat="1" ht="21" customHeight="1" x14ac:dyDescent="0.25">
      <c r="A14" s="96" t="s">
        <v>116</v>
      </c>
      <c r="C14" s="384" t="str">
        <f>SourceData!B8</f>
        <v>Länsstyrelsen i Hallands län</v>
      </c>
      <c r="D14" s="385"/>
      <c r="E14" s="386"/>
      <c r="F14" s="101">
        <f>SUMIF(Faktorer!C20:C39,C14,Faktorer!D20:D39)</f>
        <v>0</v>
      </c>
      <c r="J14" s="9" t="s">
        <v>117</v>
      </c>
    </row>
    <row r="15" spans="1:11" customFormat="1" ht="21" customHeight="1" x14ac:dyDescent="0.25">
      <c r="A15" s="96" t="s">
        <v>118</v>
      </c>
      <c r="C15" s="387"/>
      <c r="D15" s="388"/>
      <c r="E15" s="389"/>
      <c r="F15" s="101"/>
      <c r="J15" s="9" t="s">
        <v>119</v>
      </c>
    </row>
    <row r="16" spans="1:11" customFormat="1" ht="21" customHeight="1" x14ac:dyDescent="0.25">
      <c r="A16" s="96" t="s">
        <v>120</v>
      </c>
      <c r="C16" s="384" t="str">
        <f>SourceData!B9</f>
        <v>Centrala älgförvaltningsområdet</v>
      </c>
      <c r="D16" s="385"/>
      <c r="E16" s="386"/>
      <c r="J16" s="9" t="s">
        <v>121</v>
      </c>
    </row>
    <row r="17" spans="1:10" customFormat="1" ht="21" customHeight="1" x14ac:dyDescent="0.25">
      <c r="A17" s="96" t="s">
        <v>122</v>
      </c>
      <c r="C17" s="366"/>
      <c r="D17" s="367"/>
      <c r="E17" s="368"/>
      <c r="J17" s="9" t="s">
        <v>121</v>
      </c>
    </row>
    <row r="18" spans="1:10" customFormat="1" ht="21" customHeight="1" x14ac:dyDescent="0.25">
      <c r="A18" s="96" t="s">
        <v>123</v>
      </c>
      <c r="C18" s="366"/>
      <c r="D18" s="367"/>
      <c r="E18" s="368"/>
      <c r="J18" s="9" t="s">
        <v>121</v>
      </c>
    </row>
    <row r="19" spans="1:10" customFormat="1" ht="21" customHeight="1" x14ac:dyDescent="0.25">
      <c r="B19" s="102"/>
      <c r="C19" s="91"/>
      <c r="D19" s="91"/>
    </row>
    <row r="20" spans="1:10" customFormat="1" ht="21" customHeight="1" x14ac:dyDescent="0.25">
      <c r="A20" s="103" t="s">
        <v>124</v>
      </c>
      <c r="B20" s="104"/>
      <c r="C20" s="104"/>
      <c r="D20" s="104"/>
      <c r="J20" s="9"/>
    </row>
    <row r="21" spans="1:10" customFormat="1" ht="21" customHeight="1" x14ac:dyDescent="0.25">
      <c r="A21" s="369"/>
      <c r="B21" s="369"/>
      <c r="C21" s="369"/>
      <c r="D21" s="369"/>
      <c r="E21" s="369"/>
      <c r="F21" s="369"/>
      <c r="G21" s="369"/>
      <c r="H21" s="369"/>
      <c r="J21" s="9"/>
    </row>
    <row r="22" spans="1:10" customFormat="1" ht="21" customHeight="1" x14ac:dyDescent="0.25">
      <c r="A22" s="197"/>
      <c r="B22" s="197"/>
      <c r="C22" s="197"/>
      <c r="D22" s="197"/>
      <c r="E22" s="197"/>
      <c r="F22" s="197"/>
      <c r="G22" s="197"/>
      <c r="H22" s="197"/>
      <c r="J22" s="9"/>
    </row>
    <row r="23" spans="1:10" customFormat="1" ht="21" customHeight="1" x14ac:dyDescent="0.25">
      <c r="A23" s="369"/>
      <c r="B23" s="369"/>
      <c r="C23" s="369"/>
      <c r="D23" s="369"/>
      <c r="E23" s="369"/>
      <c r="F23" s="369"/>
      <c r="G23" s="369"/>
      <c r="H23" s="369"/>
      <c r="J23" s="9"/>
    </row>
    <row r="24" spans="1:10" customFormat="1" ht="21" customHeight="1" x14ac:dyDescent="0.25">
      <c r="A24" s="369"/>
      <c r="B24" s="369"/>
      <c r="C24" s="369"/>
      <c r="D24" s="369"/>
      <c r="E24" s="369"/>
      <c r="F24" s="369"/>
      <c r="G24" s="369"/>
      <c r="H24" s="369"/>
      <c r="J24" s="9"/>
    </row>
    <row r="25" spans="1:10" customFormat="1" ht="18.75" customHeight="1" x14ac:dyDescent="0.25">
      <c r="A25" s="369"/>
      <c r="B25" s="369"/>
      <c r="C25" s="369"/>
      <c r="D25" s="369"/>
      <c r="E25" s="369"/>
      <c r="F25" s="369"/>
      <c r="G25" s="369"/>
      <c r="H25" s="369"/>
    </row>
    <row r="26" spans="1:10" customFormat="1" ht="18.75" customHeight="1" x14ac:dyDescent="0.35">
      <c r="A26" s="8"/>
    </row>
    <row r="27" spans="1:10" customFormat="1" ht="23.25" customHeight="1" x14ac:dyDescent="0.4">
      <c r="A27" s="105" t="s">
        <v>125</v>
      </c>
    </row>
    <row r="28" spans="1:10" customFormat="1" ht="13.5" customHeight="1" x14ac:dyDescent="0.3">
      <c r="A28" s="106"/>
    </row>
    <row r="29" spans="1:10" customFormat="1" ht="55.5" customHeight="1" x14ac:dyDescent="0.3">
      <c r="A29" s="370" t="s">
        <v>126</v>
      </c>
      <c r="B29" s="370"/>
      <c r="C29" s="370"/>
      <c r="D29" s="370"/>
      <c r="E29" s="370"/>
      <c r="F29" s="370"/>
      <c r="G29" s="370"/>
      <c r="H29" s="198"/>
    </row>
    <row r="30" spans="1:10" customFormat="1" ht="10.5" customHeight="1" x14ac:dyDescent="0.25">
      <c r="A30" s="107"/>
      <c r="B30" s="107"/>
      <c r="C30" s="107"/>
      <c r="D30" s="107"/>
      <c r="E30" s="107"/>
      <c r="F30" s="107"/>
      <c r="G30" s="107"/>
      <c r="J30" s="9"/>
    </row>
    <row r="31" spans="1:10" customFormat="1" ht="133.5" customHeight="1" x14ac:dyDescent="0.3">
      <c r="A31" s="371" t="s">
        <v>127</v>
      </c>
      <c r="B31" s="371"/>
      <c r="C31" s="371"/>
      <c r="D31" s="371"/>
      <c r="E31" s="371"/>
      <c r="F31" s="371"/>
      <c r="G31" s="371"/>
      <c r="H31" s="199"/>
      <c r="J31" s="108"/>
    </row>
    <row r="32" spans="1:10" customFormat="1" ht="9.75" customHeight="1" x14ac:dyDescent="0.25">
      <c r="A32" s="107"/>
      <c r="B32" s="107"/>
      <c r="C32" s="107"/>
      <c r="D32" s="107"/>
      <c r="E32" s="107"/>
      <c r="F32" s="107"/>
      <c r="G32" s="107"/>
      <c r="J32" s="9"/>
    </row>
    <row r="33" spans="1:10" customFormat="1" ht="20.25" customHeight="1" x14ac:dyDescent="0.3">
      <c r="A33" s="372" t="s">
        <v>128</v>
      </c>
      <c r="B33" s="372"/>
      <c r="C33" s="372"/>
      <c r="D33" s="372"/>
      <c r="E33" s="372"/>
      <c r="F33" s="372"/>
      <c r="G33" s="372"/>
      <c r="H33" s="200"/>
      <c r="J33" s="9"/>
    </row>
    <row r="34" spans="1:10" customFormat="1" ht="9.75" customHeight="1" x14ac:dyDescent="0.25">
      <c r="A34" s="107"/>
      <c r="B34" s="107"/>
      <c r="C34" s="107"/>
      <c r="D34" s="107"/>
      <c r="E34" s="107"/>
      <c r="F34" s="107"/>
      <c r="G34" s="107"/>
      <c r="J34" s="9"/>
    </row>
    <row r="35" spans="1:10" customFormat="1" ht="74.25" customHeight="1" x14ac:dyDescent="0.3">
      <c r="A35" s="373" t="s">
        <v>129</v>
      </c>
      <c r="B35" s="373"/>
      <c r="C35" s="373"/>
      <c r="D35" s="373"/>
      <c r="E35" s="373"/>
      <c r="F35" s="373"/>
      <c r="G35" s="373"/>
      <c r="H35" s="201"/>
    </row>
    <row r="36" spans="1:10" customFormat="1" ht="10.5" customHeight="1" x14ac:dyDescent="0.25">
      <c r="A36" s="107"/>
      <c r="B36" s="107"/>
      <c r="C36" s="107"/>
      <c r="D36" s="107"/>
      <c r="E36" s="107"/>
      <c r="F36" s="107"/>
      <c r="G36" s="107"/>
      <c r="J36" s="9"/>
    </row>
    <row r="37" spans="1:10" customFormat="1" ht="95.25" customHeight="1" x14ac:dyDescent="0.3">
      <c r="A37" s="363" t="s">
        <v>130</v>
      </c>
      <c r="B37" s="363"/>
      <c r="C37" s="363"/>
      <c r="D37" s="363"/>
      <c r="E37" s="363"/>
      <c r="F37" s="363"/>
      <c r="G37" s="363"/>
      <c r="H37" s="202"/>
    </row>
    <row r="38" spans="1:10" customFormat="1" ht="81.75" customHeight="1" x14ac:dyDescent="0.25">
      <c r="A38" s="107"/>
      <c r="B38" s="107"/>
    </row>
    <row r="39" spans="1:10" customFormat="1" ht="81.75" customHeight="1" x14ac:dyDescent="0.25">
      <c r="A39" s="107"/>
      <c r="B39" s="107"/>
    </row>
    <row r="40" spans="1:10" customFormat="1" ht="81.75" customHeight="1" x14ac:dyDescent="0.25">
      <c r="A40" s="107"/>
      <c r="B40" s="107"/>
    </row>
    <row r="42" spans="1:10" customFormat="1" ht="21" customHeight="1" x14ac:dyDescent="0.25">
      <c r="A42" s="6"/>
    </row>
    <row r="43" spans="1:10" customFormat="1" ht="21" customHeight="1" x14ac:dyDescent="0.25">
      <c r="A43" s="6"/>
    </row>
    <row r="44" spans="1:10" customFormat="1" ht="21" customHeight="1" x14ac:dyDescent="0.25">
      <c r="A44" s="6"/>
    </row>
    <row r="45" spans="1:10" customFormat="1" ht="21" customHeight="1" x14ac:dyDescent="0.35">
      <c r="A45" s="364" t="s">
        <v>131</v>
      </c>
      <c r="B45" s="364"/>
      <c r="C45" s="364"/>
      <c r="D45" s="364"/>
      <c r="E45" s="364"/>
      <c r="F45" s="364"/>
      <c r="G45" s="364"/>
      <c r="H45" s="364"/>
    </row>
    <row r="46" spans="1:10" customFormat="1" ht="21" customHeight="1" x14ac:dyDescent="0.3">
      <c r="A46" s="106"/>
      <c r="B46" s="106"/>
      <c r="C46" s="106"/>
      <c r="D46" s="106"/>
      <c r="E46" s="106"/>
      <c r="F46" s="106"/>
      <c r="G46" s="106"/>
      <c r="H46" s="106"/>
    </row>
    <row r="47" spans="1:10" customFormat="1" ht="21" customHeight="1" x14ac:dyDescent="0.35">
      <c r="A47" s="361" t="s">
        <v>132</v>
      </c>
      <c r="B47" s="361"/>
      <c r="C47" s="361"/>
      <c r="D47" s="361"/>
      <c r="E47" s="361"/>
      <c r="F47" s="361"/>
      <c r="G47" s="361"/>
      <c r="H47" s="361"/>
    </row>
    <row r="48" spans="1:10" customFormat="1" ht="21" customHeight="1" x14ac:dyDescent="0.25">
      <c r="A48" s="6" t="s">
        <v>133</v>
      </c>
    </row>
    <row r="49" spans="1:12" customFormat="1" ht="21" customHeight="1" x14ac:dyDescent="0.25">
      <c r="A49" s="4" t="s">
        <v>134</v>
      </c>
      <c r="B49" s="18" t="s">
        <v>135</v>
      </c>
      <c r="C49" s="18" t="s">
        <v>136</v>
      </c>
      <c r="D49" s="18" t="s">
        <v>137</v>
      </c>
    </row>
    <row r="50" spans="1:12" customFormat="1" ht="21" customHeight="1" x14ac:dyDescent="0.25">
      <c r="A50" s="7" t="s">
        <v>138</v>
      </c>
      <c r="B50" s="203"/>
      <c r="C50" s="203"/>
      <c r="D50" s="203"/>
      <c r="J50" s="9" t="s">
        <v>139</v>
      </c>
    </row>
    <row r="51" spans="1:12" customFormat="1" ht="21" customHeight="1" x14ac:dyDescent="0.25">
      <c r="A51" s="96" t="s">
        <v>140</v>
      </c>
      <c r="B51" s="365"/>
      <c r="C51" s="365"/>
      <c r="D51" s="365"/>
      <c r="E51" s="365"/>
      <c r="F51" s="365"/>
      <c r="G51" s="365"/>
      <c r="H51" s="365"/>
      <c r="J51" s="9" t="s">
        <v>141</v>
      </c>
    </row>
    <row r="52" spans="1:12" customFormat="1" ht="21" customHeight="1" x14ac:dyDescent="0.25">
      <c r="J52" s="9"/>
    </row>
    <row r="53" spans="1:12" customFormat="1" ht="21" customHeight="1" x14ac:dyDescent="0.25">
      <c r="A53" s="6" t="s">
        <v>142</v>
      </c>
      <c r="B53" s="109"/>
      <c r="C53" s="109"/>
      <c r="D53" s="109"/>
      <c r="E53" s="109"/>
      <c r="F53" s="109"/>
      <c r="G53" s="109"/>
      <c r="H53" s="109"/>
      <c r="J53" s="9"/>
      <c r="L53" s="9"/>
    </row>
    <row r="54" spans="1:12" customFormat="1" ht="21" customHeight="1" x14ac:dyDescent="0.25">
      <c r="A54" s="6"/>
      <c r="B54" s="96" t="s">
        <v>143</v>
      </c>
      <c r="C54" s="96" t="s">
        <v>144</v>
      </c>
      <c r="D54" s="110" t="s">
        <v>145</v>
      </c>
      <c r="F54" s="109"/>
      <c r="G54" s="109"/>
      <c r="H54" s="109"/>
      <c r="J54" s="9" t="s">
        <v>146</v>
      </c>
      <c r="L54" s="9"/>
    </row>
    <row r="55" spans="1:12" customFormat="1" ht="21" customHeight="1" x14ac:dyDescent="0.25">
      <c r="A55" s="96" t="s">
        <v>147</v>
      </c>
      <c r="B55" s="204">
        <v>30</v>
      </c>
      <c r="C55" s="44">
        <f>IF(C$12&gt;0,B55/C$12*1000,"")</f>
        <v>2.7139497014655332</v>
      </c>
      <c r="D55" s="45">
        <f>IF(B55&gt;0,B55/B$58,"")</f>
        <v>0.34883720930232559</v>
      </c>
      <c r="F55" s="109"/>
      <c r="G55" s="109"/>
      <c r="H55" s="109"/>
      <c r="J55" s="9" t="s">
        <v>148</v>
      </c>
    </row>
    <row r="56" spans="1:12" customFormat="1" ht="21" customHeight="1" x14ac:dyDescent="0.25">
      <c r="A56" s="96" t="s">
        <v>149</v>
      </c>
      <c r="B56" s="204">
        <v>41</v>
      </c>
      <c r="C56" s="44">
        <f>IF(C$12&gt;0,B56/C$12*1000,"")</f>
        <v>3.7090645920028948</v>
      </c>
      <c r="D56" s="45">
        <f>IF(B56&gt;0,B56/B$58,"")</f>
        <v>0.47674418604651164</v>
      </c>
      <c r="F56" s="109"/>
      <c r="G56" s="109"/>
      <c r="H56" s="109"/>
      <c r="J56" s="9" t="s">
        <v>150</v>
      </c>
      <c r="L56" s="9"/>
    </row>
    <row r="57" spans="1:12" customFormat="1" ht="21" customHeight="1" x14ac:dyDescent="0.25">
      <c r="A57" s="96" t="s">
        <v>151</v>
      </c>
      <c r="B57" s="204">
        <v>15</v>
      </c>
      <c r="C57" s="44">
        <f>IF(C$12&gt;0,B57/C$12*1000,"")</f>
        <v>1.3569748507327666</v>
      </c>
      <c r="D57" s="45">
        <f>IF(B57&gt;0,B57/B$58,"")</f>
        <v>0.1744186046511628</v>
      </c>
      <c r="F57" s="109"/>
      <c r="G57" s="109"/>
      <c r="H57" s="109"/>
      <c r="J57" s="9" t="s">
        <v>152</v>
      </c>
      <c r="L57" s="9"/>
    </row>
    <row r="58" spans="1:12" customFormat="1" ht="21" customHeight="1" x14ac:dyDescent="0.25">
      <c r="A58" s="96" t="s">
        <v>153</v>
      </c>
      <c r="B58" s="22">
        <f>IF(B55+B56+B57&gt;0,SUM(B55:B57),"")</f>
        <v>86</v>
      </c>
      <c r="C58" s="44">
        <f>IF(AND(C12&gt;0,B58&lt;&gt;""),B58/C12*1000,"")</f>
        <v>7.7799891442011946</v>
      </c>
      <c r="D58" s="45">
        <f>IF(B57+B56+B55&gt;0,D55+D56+D57,"")</f>
        <v>1</v>
      </c>
      <c r="F58" s="109"/>
      <c r="G58" s="109"/>
      <c r="H58" s="109"/>
      <c r="J58" s="9" t="s">
        <v>154</v>
      </c>
    </row>
    <row r="59" spans="1:12" customFormat="1" ht="21" customHeight="1" x14ac:dyDescent="0.25">
      <c r="B59" s="6"/>
      <c r="C59" s="6"/>
      <c r="D59" s="6"/>
      <c r="E59" s="6"/>
      <c r="F59" s="6"/>
      <c r="G59" s="6"/>
      <c r="H59" s="6"/>
    </row>
    <row r="60" spans="1:12" customFormat="1" ht="21" customHeight="1" x14ac:dyDescent="0.25">
      <c r="A60" s="80" t="s">
        <v>155</v>
      </c>
      <c r="B60" s="18">
        <f>IF($C$9&gt;0,$C$9+2,"")</f>
        <v>2026</v>
      </c>
    </row>
    <row r="61" spans="1:12" customFormat="1" ht="21" customHeight="1" x14ac:dyDescent="0.25">
      <c r="A61" s="80" t="s">
        <v>156</v>
      </c>
      <c r="B61" s="205" t="s">
        <v>1348</v>
      </c>
      <c r="C61" s="96" t="s">
        <v>157</v>
      </c>
      <c r="J61" s="9" t="s">
        <v>158</v>
      </c>
    </row>
    <row r="62" spans="1:12" customFormat="1" ht="21" customHeight="1" x14ac:dyDescent="0.25">
      <c r="A62" s="6"/>
    </row>
    <row r="63" spans="1:12" customFormat="1" ht="21" customHeight="1" x14ac:dyDescent="0.25">
      <c r="A63" s="6" t="s">
        <v>159</v>
      </c>
      <c r="J63" s="9" t="s">
        <v>160</v>
      </c>
    </row>
    <row r="64" spans="1:12" customFormat="1" ht="21" customHeight="1" x14ac:dyDescent="0.25">
      <c r="A64" s="96" t="s">
        <v>161</v>
      </c>
      <c r="B64" s="206">
        <v>0.4</v>
      </c>
      <c r="C64" s="96" t="s">
        <v>162</v>
      </c>
      <c r="J64" s="9" t="s">
        <v>163</v>
      </c>
    </row>
    <row r="65" spans="1:10" customFormat="1" ht="21" customHeight="1" x14ac:dyDescent="0.25">
      <c r="A65" s="96" t="s">
        <v>164</v>
      </c>
      <c r="B65" s="207">
        <v>0.55000000000000004</v>
      </c>
      <c r="C65" s="96" t="s">
        <v>165</v>
      </c>
      <c r="J65" s="9" t="s">
        <v>166</v>
      </c>
    </row>
    <row r="66" spans="1:10" customFormat="1" ht="21" customHeight="1" x14ac:dyDescent="0.25">
      <c r="A66" s="96" t="s">
        <v>167</v>
      </c>
      <c r="B66" s="206">
        <v>0.7</v>
      </c>
      <c r="C66" s="96" t="s">
        <v>168</v>
      </c>
      <c r="J66" s="9" t="s">
        <v>169</v>
      </c>
    </row>
    <row r="67" spans="1:10" customFormat="1" ht="21" customHeight="1" x14ac:dyDescent="0.25">
      <c r="A67" s="96" t="s">
        <v>170</v>
      </c>
      <c r="B67" s="204">
        <v>60</v>
      </c>
      <c r="C67" s="96" t="s">
        <v>171</v>
      </c>
      <c r="J67" s="9" t="s">
        <v>172</v>
      </c>
    </row>
    <row r="68" spans="1:10" customFormat="1" ht="21" customHeight="1" x14ac:dyDescent="0.25">
      <c r="A68" s="6"/>
      <c r="B68" s="111"/>
    </row>
    <row r="69" spans="1:10" customFormat="1" ht="21" customHeight="1" x14ac:dyDescent="0.25">
      <c r="A69" s="112" t="s">
        <v>173</v>
      </c>
      <c r="B69" s="104"/>
      <c r="C69" s="104"/>
      <c r="D69" s="104"/>
      <c r="J69" s="9"/>
    </row>
    <row r="70" spans="1:10" customFormat="1" ht="21" customHeight="1" x14ac:dyDescent="0.25">
      <c r="A70" s="357"/>
      <c r="B70" s="358"/>
      <c r="C70" s="358"/>
      <c r="D70" s="358"/>
      <c r="E70" s="358"/>
      <c r="F70" s="358"/>
      <c r="G70" s="358"/>
      <c r="H70" s="358"/>
      <c r="J70" s="9"/>
    </row>
    <row r="71" spans="1:10" customFormat="1" ht="21" customHeight="1" x14ac:dyDescent="0.25">
      <c r="A71" s="359"/>
      <c r="B71" s="360"/>
      <c r="C71" s="360"/>
      <c r="D71" s="360"/>
      <c r="E71" s="360"/>
      <c r="F71" s="360"/>
      <c r="G71" s="360"/>
      <c r="H71" s="360"/>
      <c r="J71" s="9"/>
    </row>
    <row r="72" spans="1:10" customFormat="1" ht="21" customHeight="1" x14ac:dyDescent="0.25">
      <c r="A72" s="6"/>
      <c r="B72" s="111"/>
    </row>
    <row r="73" spans="1:10" customFormat="1" ht="21" customHeight="1" x14ac:dyDescent="0.35">
      <c r="A73" s="361" t="s">
        <v>174</v>
      </c>
      <c r="B73" s="361"/>
      <c r="C73" s="361"/>
      <c r="D73" s="361"/>
      <c r="E73" s="361"/>
      <c r="F73" s="361"/>
      <c r="G73" s="361"/>
      <c r="H73" s="361"/>
    </row>
    <row r="74" spans="1:10" customFormat="1" ht="21" customHeight="1" x14ac:dyDescent="0.25">
      <c r="A74" s="208" t="s">
        <v>175</v>
      </c>
      <c r="B74" s="350" t="s">
        <v>176</v>
      </c>
      <c r="C74" s="351"/>
      <c r="D74" s="351"/>
      <c r="E74" s="352"/>
      <c r="F74" s="206">
        <v>0.15</v>
      </c>
      <c r="G74" s="96" t="s">
        <v>177</v>
      </c>
      <c r="J74" s="9" t="s">
        <v>178</v>
      </c>
    </row>
    <row r="75" spans="1:10" customFormat="1" ht="21" customHeight="1" x14ac:dyDescent="0.25">
      <c r="A75" s="209" t="s">
        <v>179</v>
      </c>
      <c r="B75" s="350" t="s">
        <v>176</v>
      </c>
      <c r="C75" s="351"/>
      <c r="D75" s="351"/>
      <c r="E75" s="352"/>
      <c r="F75" s="210">
        <v>0.05</v>
      </c>
      <c r="G75" s="96" t="s">
        <v>177</v>
      </c>
      <c r="J75" s="9" t="s">
        <v>178</v>
      </c>
    </row>
    <row r="76" spans="1:10" customFormat="1" ht="21" customHeight="1" x14ac:dyDescent="0.25">
      <c r="A76" s="209" t="s">
        <v>175</v>
      </c>
      <c r="B76" s="350" t="s">
        <v>180</v>
      </c>
      <c r="C76" s="351"/>
      <c r="D76" s="351"/>
      <c r="E76" s="352"/>
      <c r="F76" s="210">
        <v>0.7</v>
      </c>
      <c r="G76" s="96" t="s">
        <v>177</v>
      </c>
      <c r="J76" s="9" t="s">
        <v>181</v>
      </c>
    </row>
    <row r="77" spans="1:10" customFormat="1" ht="21" customHeight="1" x14ac:dyDescent="0.25">
      <c r="A77" s="209" t="s">
        <v>175</v>
      </c>
      <c r="B77" s="350" t="s">
        <v>182</v>
      </c>
      <c r="C77" s="351"/>
      <c r="D77" s="351"/>
      <c r="E77" s="352"/>
      <c r="F77" s="204">
        <v>1800</v>
      </c>
      <c r="G77" s="96" t="s">
        <v>183</v>
      </c>
      <c r="J77" s="9" t="s">
        <v>184</v>
      </c>
    </row>
    <row r="78" spans="1:10" customFormat="1" ht="21" customHeight="1" x14ac:dyDescent="0.25">
      <c r="A78" s="6"/>
      <c r="B78" s="113"/>
    </row>
    <row r="79" spans="1:10" customFormat="1" ht="21" customHeight="1" x14ac:dyDescent="0.35">
      <c r="A79" s="342" t="s">
        <v>185</v>
      </c>
      <c r="B79" s="342"/>
      <c r="C79" s="342"/>
      <c r="D79" s="342"/>
      <c r="E79" s="342"/>
      <c r="F79" s="342"/>
      <c r="G79" s="342"/>
      <c r="H79" s="342"/>
    </row>
    <row r="80" spans="1:10" customFormat="1" ht="12" customHeight="1" x14ac:dyDescent="0.3">
      <c r="A80" s="106"/>
      <c r="B80" s="106"/>
      <c r="C80" s="106"/>
      <c r="D80" s="106"/>
      <c r="E80" s="106"/>
      <c r="F80" s="106"/>
      <c r="G80" s="106"/>
      <c r="H80" s="106"/>
    </row>
    <row r="81" spans="1:10" customFormat="1" ht="21" customHeight="1" x14ac:dyDescent="0.35">
      <c r="A81" s="8" t="s">
        <v>186</v>
      </c>
      <c r="J81" s="9"/>
    </row>
    <row r="82" spans="1:10" customFormat="1" ht="21" customHeight="1" x14ac:dyDescent="0.25">
      <c r="A82" s="9" t="s">
        <v>187</v>
      </c>
    </row>
    <row r="83" spans="1:10" customFormat="1" ht="21" customHeight="1" x14ac:dyDescent="0.3">
      <c r="A83" s="114" t="s">
        <v>188</v>
      </c>
      <c r="J83" s="211" t="s">
        <v>189</v>
      </c>
    </row>
    <row r="84" spans="1:10" customFormat="1" ht="21" customHeight="1" x14ac:dyDescent="0.25">
      <c r="A84" s="9" t="s">
        <v>190</v>
      </c>
      <c r="J84" s="115" t="s">
        <v>191</v>
      </c>
    </row>
    <row r="85" spans="1:10" customFormat="1" ht="21" customHeight="1" x14ac:dyDescent="0.25">
      <c r="A85" s="4" t="s">
        <v>192</v>
      </c>
      <c r="B85" s="18">
        <f>IF($C$9&gt;0,$C$9-3,"")</f>
        <v>2021</v>
      </c>
      <c r="C85" s="18">
        <f>IF($C$9&gt;0,$C$9-2,"")</f>
        <v>2022</v>
      </c>
      <c r="D85" s="18">
        <f>IF($C$9&gt;0,$C$9-1,"")</f>
        <v>2023</v>
      </c>
    </row>
    <row r="86" spans="1:10" customFormat="1" ht="21" customHeight="1" x14ac:dyDescent="0.25">
      <c r="A86" s="7" t="s">
        <v>147</v>
      </c>
      <c r="B86" s="212">
        <f>SourceData!B18</f>
        <v>8</v>
      </c>
      <c r="C86" s="212">
        <f>SourceData!C18</f>
        <v>8</v>
      </c>
      <c r="D86" s="212">
        <f>SourceData!D18</f>
        <v>6</v>
      </c>
      <c r="J86" s="9" t="s">
        <v>193</v>
      </c>
    </row>
    <row r="87" spans="1:10" customFormat="1" ht="21" customHeight="1" x14ac:dyDescent="0.25">
      <c r="A87" s="7" t="s">
        <v>194</v>
      </c>
      <c r="B87" s="212">
        <f>SourceData!B19</f>
        <v>7</v>
      </c>
      <c r="C87" s="212">
        <f>SourceData!C19</f>
        <v>6</v>
      </c>
      <c r="D87" s="212">
        <f>SourceData!D19</f>
        <v>2</v>
      </c>
      <c r="J87" s="9" t="s">
        <v>193</v>
      </c>
    </row>
    <row r="88" spans="1:10" customFormat="1" ht="21" customHeight="1" x14ac:dyDescent="0.25">
      <c r="A88" s="7" t="s">
        <v>151</v>
      </c>
      <c r="B88" s="212">
        <f>SourceData!B20</f>
        <v>16</v>
      </c>
      <c r="C88" s="212">
        <f>SourceData!C20</f>
        <v>11</v>
      </c>
      <c r="D88" s="212">
        <f>SourceData!D20</f>
        <v>5</v>
      </c>
      <c r="J88" s="9" t="s">
        <v>193</v>
      </c>
    </row>
    <row r="89" spans="1:10" customFormat="1" ht="21" customHeight="1" x14ac:dyDescent="0.25">
      <c r="A89" s="7" t="s">
        <v>153</v>
      </c>
      <c r="B89" s="22">
        <f>IF(B86+B87+B88&gt;0,SUM(B86:B88),"")</f>
        <v>31</v>
      </c>
      <c r="C89" s="22">
        <f>IF(C86+C87+C88&gt;0,SUM(C86:C88),"")</f>
        <v>25</v>
      </c>
      <c r="D89" s="22">
        <f>IF(D86+D87+D88&gt;0,SUM(D86:D88),"")</f>
        <v>13</v>
      </c>
      <c r="J89" s="9" t="s">
        <v>195</v>
      </c>
    </row>
    <row r="90" spans="1:10" customFormat="1" ht="21" customHeight="1" x14ac:dyDescent="0.25">
      <c r="A90" s="7" t="s">
        <v>196</v>
      </c>
      <c r="B90" s="26">
        <f>IF(B91&gt;0,(B89/B91)*1000,"")</f>
        <v>2.8044146915143839</v>
      </c>
      <c r="C90" s="26">
        <f>IF(C91&gt;0,(C89/C91)*1000,"")</f>
        <v>2.2616247512212775</v>
      </c>
      <c r="D90" s="26">
        <f>IF(D91&gt;0,(D89/D91)*1000,"")</f>
        <v>1.1760448706350644</v>
      </c>
      <c r="J90" s="9" t="s">
        <v>197</v>
      </c>
    </row>
    <row r="91" spans="1:10" customFormat="1" ht="21" customHeight="1" x14ac:dyDescent="0.25">
      <c r="A91" s="96" t="s">
        <v>198</v>
      </c>
      <c r="B91" s="213">
        <v>11054</v>
      </c>
      <c r="C91" s="213">
        <v>11054</v>
      </c>
      <c r="D91" s="213">
        <v>11054</v>
      </c>
      <c r="J91" s="9" t="s">
        <v>199</v>
      </c>
    </row>
    <row r="92" spans="1:10" customFormat="1" ht="21" customHeight="1" x14ac:dyDescent="0.25">
      <c r="A92" s="116" t="s">
        <v>200</v>
      </c>
    </row>
    <row r="93" spans="1:10" customFormat="1" ht="21" customHeight="1" x14ac:dyDescent="0.25">
      <c r="A93" s="4" t="s">
        <v>192</v>
      </c>
      <c r="B93" s="18">
        <f>IF($C$9&gt;0,$C$9-3,"")</f>
        <v>2021</v>
      </c>
      <c r="C93" s="18">
        <f>IF($C$9&gt;0,$C$9-2,"")</f>
        <v>2022</v>
      </c>
      <c r="D93" s="18">
        <f>IF($C$9&gt;0,$C$9-1,"")</f>
        <v>2023</v>
      </c>
    </row>
    <row r="94" spans="1:10" customFormat="1" ht="21" customHeight="1" x14ac:dyDescent="0.25">
      <c r="A94" s="7" t="s">
        <v>201</v>
      </c>
      <c r="B94" s="35">
        <f>IF(B86+B87&gt;0,B86/(B86+B87),"")</f>
        <v>0.53333333333333333</v>
      </c>
      <c r="C94" s="35">
        <f>IF(C86+C87&gt;0,C86/(C86+C87),"")</f>
        <v>0.5714285714285714</v>
      </c>
      <c r="D94" s="35">
        <f>IF(D86+D87&gt;0,D86/(D86+D87),"")</f>
        <v>0.75</v>
      </c>
      <c r="J94" s="9" t="s">
        <v>202</v>
      </c>
    </row>
    <row r="95" spans="1:10" customFormat="1" ht="21" customHeight="1" x14ac:dyDescent="0.25">
      <c r="A95" s="7" t="s">
        <v>203</v>
      </c>
      <c r="B95" s="35">
        <f>IF(B88&gt;0,B88/B89,"")</f>
        <v>0.5161290322580645</v>
      </c>
      <c r="C95" s="35">
        <f>IF(C88&gt;0,C88/C89,"")</f>
        <v>0.44</v>
      </c>
      <c r="D95" s="35">
        <f>IF(D88&gt;0,D88/D89,"")</f>
        <v>0.38461538461538464</v>
      </c>
      <c r="J95" s="9" t="s">
        <v>202</v>
      </c>
    </row>
    <row r="96" spans="1:10" customFormat="1" ht="21" customHeight="1" x14ac:dyDescent="0.25">
      <c r="A96" s="112" t="s">
        <v>204</v>
      </c>
      <c r="B96" s="104"/>
      <c r="C96" s="104"/>
      <c r="D96" s="104"/>
    </row>
    <row r="97" spans="1:10" customFormat="1" ht="21" customHeight="1" x14ac:dyDescent="0.25">
      <c r="A97" s="356" t="s">
        <v>1338</v>
      </c>
      <c r="B97" s="336"/>
      <c r="C97" s="336"/>
      <c r="D97" s="336"/>
      <c r="E97" s="336"/>
      <c r="F97" s="336"/>
      <c r="G97" s="336"/>
      <c r="H97" s="336"/>
    </row>
    <row r="98" spans="1:10" customFormat="1" ht="21" customHeight="1" x14ac:dyDescent="0.25">
      <c r="A98" s="341"/>
      <c r="B98" s="334"/>
      <c r="C98" s="334"/>
      <c r="D98" s="334"/>
      <c r="E98" s="334"/>
      <c r="F98" s="334"/>
      <c r="G98" s="334"/>
      <c r="H98" s="334"/>
    </row>
    <row r="99" spans="1:10" customFormat="1" ht="12" customHeight="1" x14ac:dyDescent="0.25"/>
    <row r="100" spans="1:10" customFormat="1" ht="21" customHeight="1" x14ac:dyDescent="0.3">
      <c r="A100" s="114" t="s">
        <v>205</v>
      </c>
      <c r="F100" s="117"/>
      <c r="J100" s="211" t="s">
        <v>189</v>
      </c>
    </row>
    <row r="101" spans="1:10" customFormat="1" ht="21" customHeight="1" x14ac:dyDescent="0.25">
      <c r="A101" s="9" t="s">
        <v>206</v>
      </c>
      <c r="F101" s="110"/>
      <c r="J101" s="115" t="s">
        <v>191</v>
      </c>
    </row>
    <row r="102" spans="1:10" customFormat="1" ht="21" customHeight="1" x14ac:dyDescent="0.25">
      <c r="A102" s="4" t="s">
        <v>192</v>
      </c>
      <c r="B102" s="18">
        <f>IF($C$9&gt;0,$C$9-4,"")</f>
        <v>2020</v>
      </c>
      <c r="C102" s="18">
        <f>IF($C$9&gt;0,$C$9-3,"")</f>
        <v>2021</v>
      </c>
      <c r="D102" s="18">
        <f>IF($C$9&gt;0,$C$9-2,"")</f>
        <v>2022</v>
      </c>
      <c r="E102" s="18">
        <f>IF($C$9&gt;0,$C$9-1,"")</f>
        <v>2023</v>
      </c>
      <c r="F102" s="19" t="s">
        <v>207</v>
      </c>
    </row>
    <row r="103" spans="1:10" customFormat="1" ht="21" customHeight="1" x14ac:dyDescent="0.25">
      <c r="A103" s="7" t="s">
        <v>208</v>
      </c>
      <c r="B103" s="213">
        <f>SourceData!C28</f>
        <v>3237</v>
      </c>
      <c r="C103" s="213">
        <f>SourceData!D28</f>
        <v>2738</v>
      </c>
      <c r="D103" s="213">
        <f>SourceData!E28</f>
        <v>2705</v>
      </c>
      <c r="E103" s="213">
        <f>SourceData!F28</f>
        <v>1027</v>
      </c>
      <c r="F103" s="84">
        <f>IF((SUM(B103:E103)&gt;0),AVERAGE(B103:E103),"")</f>
        <v>2426.75</v>
      </c>
      <c r="J103" s="118" t="s">
        <v>209</v>
      </c>
    </row>
    <row r="104" spans="1:10" customFormat="1" ht="21" customHeight="1" x14ac:dyDescent="0.25">
      <c r="A104" s="7" t="s">
        <v>210</v>
      </c>
      <c r="B104" s="214">
        <f>SourceData!C29</f>
        <v>7.2900000000000006E-2</v>
      </c>
      <c r="C104" s="214">
        <f>SourceData!D29</f>
        <v>8.0399999999999999E-2</v>
      </c>
      <c r="D104" s="214">
        <f>SourceData!E29</f>
        <v>6.9099999999999995E-2</v>
      </c>
      <c r="E104" s="214">
        <f>SourceData!F29</f>
        <v>6.4299999999999996E-2</v>
      </c>
      <c r="F104" s="85">
        <f>IF((SUM(B104:E104)&gt;0),AVERAGE(B104:E104),"")</f>
        <v>7.1674999999999989E-2</v>
      </c>
      <c r="J104" s="9" t="s">
        <v>211</v>
      </c>
    </row>
    <row r="105" spans="1:10" customFormat="1" ht="21" customHeight="1" x14ac:dyDescent="0.25">
      <c r="A105" s="7" t="s">
        <v>212</v>
      </c>
      <c r="B105" s="214">
        <f>SourceData!C30</f>
        <v>0.52900000000000003</v>
      </c>
      <c r="C105" s="214">
        <f>SourceData!D30</f>
        <v>0.73799999999999999</v>
      </c>
      <c r="D105" s="214">
        <f>SourceData!E30</f>
        <v>0.313</v>
      </c>
      <c r="E105" s="214">
        <f>SourceData!F30</f>
        <v>0.59299999999999997</v>
      </c>
      <c r="F105" s="86">
        <f>IF((SUM(B105:E105)&gt;0),AVERAGE(B105:E105),"")</f>
        <v>0.54325000000000001</v>
      </c>
      <c r="J105" s="9" t="s">
        <v>213</v>
      </c>
    </row>
    <row r="106" spans="1:10" customFormat="1" ht="21" customHeight="1" x14ac:dyDescent="0.25">
      <c r="A106" s="7" t="s">
        <v>214</v>
      </c>
      <c r="B106" s="215">
        <f>SourceData!C31</f>
        <v>0.35399999999999998</v>
      </c>
      <c r="C106" s="215">
        <f>SourceData!D31</f>
        <v>0.433</v>
      </c>
      <c r="D106" s="215">
        <f>SourceData!E31</f>
        <v>0.32700000000000001</v>
      </c>
      <c r="E106" s="215">
        <f>SourceData!F31</f>
        <v>0.46</v>
      </c>
      <c r="F106" s="87">
        <f>IF((SUM(B106:E106)&gt;0),AVERAGE(B106:E106),"")</f>
        <v>0.39349999999999996</v>
      </c>
      <c r="J106" s="9" t="s">
        <v>215</v>
      </c>
    </row>
    <row r="107" spans="1:10" customFormat="1" ht="21" customHeight="1" x14ac:dyDescent="0.25">
      <c r="A107" s="112" t="s">
        <v>204</v>
      </c>
      <c r="B107" s="104"/>
      <c r="C107" s="104"/>
      <c r="D107" s="104"/>
      <c r="G107" s="6"/>
    </row>
    <row r="108" spans="1:10" customFormat="1" ht="21" customHeight="1" x14ac:dyDescent="0.25">
      <c r="A108" s="356"/>
      <c r="B108" s="336"/>
      <c r="C108" s="336"/>
      <c r="D108" s="336"/>
      <c r="E108" s="336"/>
      <c r="F108" s="336"/>
      <c r="G108" s="336"/>
      <c r="H108" s="336"/>
    </row>
    <row r="109" spans="1:10" customFormat="1" ht="21" customHeight="1" x14ac:dyDescent="0.25">
      <c r="A109" s="341"/>
      <c r="B109" s="334"/>
      <c r="C109" s="334"/>
      <c r="D109" s="334"/>
      <c r="E109" s="334"/>
      <c r="F109" s="334"/>
      <c r="G109" s="334"/>
      <c r="H109" s="334"/>
    </row>
    <row r="110" spans="1:10" customFormat="1" ht="12" customHeight="1" x14ac:dyDescent="0.25"/>
    <row r="111" spans="1:10" customFormat="1" ht="21" customHeight="1" x14ac:dyDescent="0.3">
      <c r="A111" s="114" t="s">
        <v>216</v>
      </c>
      <c r="J111" s="211" t="s">
        <v>189</v>
      </c>
    </row>
    <row r="112" spans="1:10" customFormat="1" ht="21" customHeight="1" x14ac:dyDescent="0.25">
      <c r="A112" s="4" t="s">
        <v>192</v>
      </c>
      <c r="B112" s="5">
        <f>IF($C$9&gt;0,$C$9-5,"")</f>
        <v>2019</v>
      </c>
      <c r="C112" s="18">
        <f>IF($C$9&gt;0,$C$9-4,"")</f>
        <v>2020</v>
      </c>
      <c r="D112" s="18">
        <f>IF($C$9&gt;0,$C$9-3,"")</f>
        <v>2021</v>
      </c>
      <c r="E112" s="18">
        <f>IF($C$9&gt;0,$C$9-2,"")</f>
        <v>2022</v>
      </c>
      <c r="F112" s="18">
        <f>IF($C$9&gt;0,$C$9-1,"")</f>
        <v>2023</v>
      </c>
      <c r="G112" s="18">
        <f>IF($C$9&gt;0,$C$9,"")</f>
        <v>2024</v>
      </c>
      <c r="J112" s="115" t="s">
        <v>191</v>
      </c>
    </row>
    <row r="113" spans="1:10" customFormat="1" ht="21" customHeight="1" x14ac:dyDescent="0.25">
      <c r="A113" s="7" t="s">
        <v>217</v>
      </c>
      <c r="B113" s="216">
        <v>305</v>
      </c>
      <c r="C113" s="216">
        <v>295</v>
      </c>
      <c r="D113" s="216">
        <v>275</v>
      </c>
      <c r="E113" s="216">
        <v>240</v>
      </c>
      <c r="F113" s="216">
        <v>285</v>
      </c>
      <c r="G113" s="216">
        <v>300</v>
      </c>
      <c r="J113" s="9" t="s">
        <v>218</v>
      </c>
    </row>
    <row r="114" spans="1:10" customFormat="1" ht="21" customHeight="1" x14ac:dyDescent="0.25">
      <c r="A114" s="7" t="s">
        <v>219</v>
      </c>
      <c r="B114" s="216">
        <v>154</v>
      </c>
      <c r="C114" s="216">
        <v>161</v>
      </c>
      <c r="D114" s="216">
        <v>175</v>
      </c>
      <c r="E114" s="216">
        <v>169</v>
      </c>
      <c r="F114" s="216">
        <v>159</v>
      </c>
      <c r="G114" s="216">
        <v>156</v>
      </c>
      <c r="J114" s="9" t="s">
        <v>220</v>
      </c>
    </row>
    <row r="115" spans="1:10" customFormat="1" ht="21" customHeight="1" x14ac:dyDescent="0.25">
      <c r="A115" s="7" t="s">
        <v>221</v>
      </c>
      <c r="B115" s="216">
        <v>64</v>
      </c>
      <c r="C115" s="216">
        <v>43</v>
      </c>
      <c r="D115" s="216">
        <v>67</v>
      </c>
      <c r="E115" s="216">
        <v>53</v>
      </c>
      <c r="F115" s="216">
        <v>44</v>
      </c>
      <c r="G115" s="216">
        <v>58</v>
      </c>
      <c r="J115" s="9" t="s">
        <v>222</v>
      </c>
    </row>
    <row r="116" spans="1:10" customFormat="1" ht="21" customHeight="1" x14ac:dyDescent="0.25">
      <c r="A116" s="7" t="s">
        <v>223</v>
      </c>
      <c r="B116" s="216" t="s">
        <v>1340</v>
      </c>
      <c r="C116" s="204"/>
      <c r="D116" s="204"/>
      <c r="E116" s="204"/>
      <c r="F116" s="204"/>
      <c r="G116" s="204"/>
      <c r="J116" s="9" t="s">
        <v>224</v>
      </c>
    </row>
    <row r="117" spans="1:10" customFormat="1" ht="21" customHeight="1" x14ac:dyDescent="0.25">
      <c r="A117" s="7" t="s">
        <v>225</v>
      </c>
      <c r="B117" s="51">
        <f t="shared" ref="B117:G117" si="0">B115/B113</f>
        <v>0.20983606557377049</v>
      </c>
      <c r="C117" s="51">
        <f t="shared" si="0"/>
        <v>0.14576271186440679</v>
      </c>
      <c r="D117" s="51">
        <f t="shared" si="0"/>
        <v>0.24363636363636362</v>
      </c>
      <c r="E117" s="51">
        <f t="shared" si="0"/>
        <v>0.22083333333333333</v>
      </c>
      <c r="F117" s="51">
        <f t="shared" si="0"/>
        <v>0.15438596491228071</v>
      </c>
      <c r="G117" s="51">
        <f t="shared" si="0"/>
        <v>0.19333333333333333</v>
      </c>
      <c r="J117" s="9" t="s">
        <v>226</v>
      </c>
    </row>
    <row r="118" spans="1:10" customFormat="1" ht="21" customHeight="1" x14ac:dyDescent="0.25">
      <c r="A118" s="7" t="s">
        <v>227</v>
      </c>
      <c r="B118" s="217"/>
      <c r="C118" s="217"/>
      <c r="D118" s="217"/>
      <c r="E118" s="217"/>
      <c r="F118" s="217"/>
      <c r="G118" s="217"/>
      <c r="J118" s="9" t="s">
        <v>228</v>
      </c>
    </row>
    <row r="119" spans="1:10" customFormat="1" ht="21" customHeight="1" x14ac:dyDescent="0.25">
      <c r="A119" s="7" t="s">
        <v>229</v>
      </c>
      <c r="B119" s="217"/>
      <c r="C119" s="217"/>
      <c r="D119" s="217"/>
      <c r="E119" s="217"/>
      <c r="F119" s="217"/>
      <c r="G119" s="217"/>
      <c r="J119" s="9" t="s">
        <v>230</v>
      </c>
    </row>
    <row r="120" spans="1:10" customFormat="1" ht="21" customHeight="1" x14ac:dyDescent="0.25">
      <c r="A120" s="7" t="s">
        <v>231</v>
      </c>
      <c r="B120" s="52" t="e">
        <f t="shared" ref="B120:G120" si="1">(B115*100000)/(B113*B114*B116)</f>
        <v>#VALUE!</v>
      </c>
      <c r="C120" s="52" t="e">
        <f t="shared" si="1"/>
        <v>#DIV/0!</v>
      </c>
      <c r="D120" s="52" t="e">
        <f t="shared" si="1"/>
        <v>#DIV/0!</v>
      </c>
      <c r="E120" s="52" t="e">
        <f t="shared" si="1"/>
        <v>#DIV/0!</v>
      </c>
      <c r="F120" s="52" t="e">
        <f t="shared" si="1"/>
        <v>#DIV/0!</v>
      </c>
      <c r="G120" s="52" t="e">
        <f t="shared" si="1"/>
        <v>#DIV/0!</v>
      </c>
      <c r="J120" s="9" t="s">
        <v>232</v>
      </c>
    </row>
    <row r="121" spans="1:10" customFormat="1" ht="21" customHeight="1" x14ac:dyDescent="0.25">
      <c r="A121" s="7" t="s">
        <v>231</v>
      </c>
      <c r="B121" s="217" t="s">
        <v>1341</v>
      </c>
      <c r="C121" s="217" t="s">
        <v>1342</v>
      </c>
      <c r="D121" s="217" t="s">
        <v>1343</v>
      </c>
      <c r="E121" s="217" t="s">
        <v>1344</v>
      </c>
      <c r="F121" s="217" t="s">
        <v>1345</v>
      </c>
      <c r="G121" s="217" t="s">
        <v>1346</v>
      </c>
      <c r="J121" s="9" t="s">
        <v>233</v>
      </c>
    </row>
    <row r="122" spans="1:10" customFormat="1" ht="21" customHeight="1" x14ac:dyDescent="0.25">
      <c r="A122" s="112" t="s">
        <v>204</v>
      </c>
      <c r="B122" s="104"/>
      <c r="C122" s="104"/>
      <c r="D122" s="104"/>
    </row>
    <row r="123" spans="1:10" customFormat="1" ht="21" customHeight="1" x14ac:dyDescent="0.25">
      <c r="A123" s="356" t="s">
        <v>1347</v>
      </c>
      <c r="B123" s="336"/>
      <c r="C123" s="336"/>
      <c r="D123" s="336"/>
      <c r="E123" s="336"/>
      <c r="F123" s="336"/>
      <c r="G123" s="336"/>
      <c r="H123" s="336"/>
    </row>
    <row r="124" spans="1:10" customFormat="1" ht="21" customHeight="1" x14ac:dyDescent="0.25">
      <c r="A124" s="341"/>
      <c r="B124" s="334"/>
      <c r="C124" s="334"/>
      <c r="D124" s="334"/>
      <c r="E124" s="334"/>
      <c r="F124" s="334"/>
      <c r="G124" s="334"/>
      <c r="H124" s="334"/>
    </row>
    <row r="125" spans="1:10" customFormat="1" ht="21" customHeight="1" x14ac:dyDescent="0.35">
      <c r="A125" s="342" t="s">
        <v>234</v>
      </c>
      <c r="B125" s="342"/>
      <c r="C125" s="342"/>
      <c r="D125" s="342"/>
      <c r="E125" s="342"/>
      <c r="F125" s="342"/>
      <c r="G125" s="342"/>
      <c r="H125" s="342"/>
    </row>
    <row r="126" spans="1:10" customFormat="1" ht="12" customHeight="1" x14ac:dyDescent="0.25"/>
    <row r="127" spans="1:10" customFormat="1" ht="21" customHeight="1" x14ac:dyDescent="0.3">
      <c r="A127" s="114" t="s">
        <v>235</v>
      </c>
      <c r="J127" s="211" t="s">
        <v>189</v>
      </c>
    </row>
    <row r="128" spans="1:10" customFormat="1" ht="21" customHeight="1" x14ac:dyDescent="0.25">
      <c r="A128" s="9" t="s">
        <v>236</v>
      </c>
      <c r="J128" s="115" t="s">
        <v>191</v>
      </c>
    </row>
    <row r="129" spans="1:12" customFormat="1" ht="21" customHeight="1" x14ac:dyDescent="0.25">
      <c r="A129" s="4" t="s">
        <v>192</v>
      </c>
      <c r="B129" s="5">
        <f>IF($C$9&gt;0,$C$9-5,"")</f>
        <v>2019</v>
      </c>
      <c r="C129" s="18">
        <f>IF($C$9&gt;0,$C$9-4,"")</f>
        <v>2020</v>
      </c>
      <c r="D129" s="18">
        <f>IF($C$9&gt;0,$C$9-3,"")</f>
        <v>2021</v>
      </c>
      <c r="E129" s="18">
        <f>IF($C$9&gt;0,$C$9-2,"")</f>
        <v>2022</v>
      </c>
      <c r="F129" s="18">
        <f>IF($C$9&gt;0,$C$9-1,"")</f>
        <v>2023</v>
      </c>
    </row>
    <row r="130" spans="1:12" customFormat="1" ht="21" customHeight="1" x14ac:dyDescent="0.25">
      <c r="A130" s="7" t="s">
        <v>237</v>
      </c>
      <c r="B130" s="218">
        <f>SourceData!B41</f>
        <v>15</v>
      </c>
      <c r="C130" s="218">
        <f>SourceData!C41</f>
        <v>14</v>
      </c>
      <c r="D130" s="218">
        <f>SourceData!D41</f>
        <v>16</v>
      </c>
      <c r="E130" s="218">
        <f>SourceData!E41</f>
        <v>8</v>
      </c>
      <c r="F130" s="218">
        <f>SourceData!F41</f>
        <v>5</v>
      </c>
    </row>
    <row r="131" spans="1:12" customFormat="1" ht="21" customHeight="1" x14ac:dyDescent="0.25">
      <c r="A131" s="7" t="s">
        <v>238</v>
      </c>
      <c r="B131" s="218">
        <f>SourceData!B38</f>
        <v>0</v>
      </c>
      <c r="C131" s="218">
        <f>SourceData!C38</f>
        <v>0</v>
      </c>
      <c r="D131" s="218">
        <f>SourceData!D38</f>
        <v>0</v>
      </c>
      <c r="E131" s="218">
        <f>SourceData!E38</f>
        <v>0</v>
      </c>
      <c r="F131" s="218">
        <f>SourceData!F38</f>
        <v>0</v>
      </c>
      <c r="J131" s="9" t="s">
        <v>239</v>
      </c>
    </row>
    <row r="132" spans="1:12" customFormat="1" ht="21" customHeight="1" x14ac:dyDescent="0.25">
      <c r="A132" s="7" t="s">
        <v>240</v>
      </c>
      <c r="B132" s="218">
        <f>SourceData!B39</f>
        <v>51</v>
      </c>
      <c r="C132" s="218">
        <f>SourceData!C39</f>
        <v>52</v>
      </c>
      <c r="D132" s="218">
        <f>SourceData!D39</f>
        <v>50</v>
      </c>
      <c r="E132" s="218">
        <f>SourceData!E39</f>
        <v>46</v>
      </c>
      <c r="F132" s="218">
        <f>SourceData!F39</f>
        <v>59</v>
      </c>
      <c r="J132" s="9" t="s">
        <v>241</v>
      </c>
    </row>
    <row r="133" spans="1:12" customFormat="1" ht="21" customHeight="1" x14ac:dyDescent="0.25">
      <c r="A133" s="7" t="s">
        <v>242</v>
      </c>
      <c r="B133" s="219">
        <f>SourceData!B40</f>
        <v>51</v>
      </c>
      <c r="C133" s="219">
        <f>SourceData!C40</f>
        <v>52</v>
      </c>
      <c r="D133" s="219">
        <f>SourceData!D40</f>
        <v>50</v>
      </c>
      <c r="E133" s="219">
        <f>SourceData!E40</f>
        <v>46</v>
      </c>
      <c r="F133" s="219">
        <f>SourceData!F40</f>
        <v>59</v>
      </c>
      <c r="J133" s="9" t="s">
        <v>243</v>
      </c>
    </row>
    <row r="134" spans="1:12" customFormat="1" ht="21" customHeight="1" x14ac:dyDescent="0.25">
      <c r="A134" s="112" t="s">
        <v>204</v>
      </c>
      <c r="B134" s="104"/>
      <c r="C134" s="104"/>
      <c r="D134" s="104"/>
    </row>
    <row r="135" spans="1:12" customFormat="1" ht="21" customHeight="1" x14ac:dyDescent="0.25">
      <c r="A135" s="356" t="s">
        <v>1339</v>
      </c>
      <c r="B135" s="336"/>
      <c r="C135" s="336"/>
      <c r="D135" s="336"/>
      <c r="E135" s="336"/>
      <c r="F135" s="336"/>
      <c r="G135" s="336"/>
      <c r="H135" s="336"/>
    </row>
    <row r="136" spans="1:12" customFormat="1" ht="21" customHeight="1" x14ac:dyDescent="0.25">
      <c r="A136" s="341"/>
      <c r="B136" s="334"/>
      <c r="C136" s="334"/>
      <c r="D136" s="334"/>
      <c r="E136" s="334"/>
      <c r="F136" s="334"/>
      <c r="G136" s="334"/>
      <c r="H136" s="334"/>
    </row>
    <row r="137" spans="1:12" customFormat="1" ht="21" customHeight="1" x14ac:dyDescent="0.3">
      <c r="A137" s="114" t="s">
        <v>244</v>
      </c>
      <c r="J137" s="211" t="s">
        <v>245</v>
      </c>
    </row>
    <row r="138" spans="1:12" customFormat="1" ht="21" customHeight="1" x14ac:dyDescent="0.25">
      <c r="A138" s="116" t="s">
        <v>246</v>
      </c>
      <c r="J138" s="9"/>
    </row>
    <row r="139" spans="1:12" customFormat="1" ht="21" customHeight="1" x14ac:dyDescent="0.25">
      <c r="A139" s="4" t="s">
        <v>192</v>
      </c>
      <c r="B139" s="5">
        <f>IF($C$9&gt;0,$C$9-5,"")</f>
        <v>2019</v>
      </c>
      <c r="C139" s="18">
        <f>IF($C$9&gt;0,$C$9-4,"")</f>
        <v>2020</v>
      </c>
      <c r="D139" s="18">
        <f>IF($C$9&gt;0,$C$9-3,"")</f>
        <v>2021</v>
      </c>
      <c r="E139" s="18">
        <f>IF($C$9&gt;0,$C$9-2,"")</f>
        <v>2022</v>
      </c>
      <c r="F139" s="18">
        <f>IF($C$9&gt;0,$C$9-1,"")</f>
        <v>2023</v>
      </c>
      <c r="J139" s="9"/>
    </row>
    <row r="140" spans="1:12" customFormat="1" ht="21" customHeight="1" x14ac:dyDescent="0.25">
      <c r="A140" s="7" t="s">
        <v>247</v>
      </c>
      <c r="B140" s="220">
        <f>SourceData!B49</f>
        <v>6</v>
      </c>
      <c r="C140" s="220">
        <f>SourceData!C49</f>
        <v>6</v>
      </c>
      <c r="D140" s="220">
        <f>SourceData!D49</f>
        <v>7</v>
      </c>
      <c r="E140" s="220">
        <f>SourceData!E49</f>
        <v>6</v>
      </c>
      <c r="F140" s="220">
        <f>SourceData!F49</f>
        <v>1</v>
      </c>
      <c r="J140" s="9"/>
      <c r="L140" s="120"/>
    </row>
    <row r="141" spans="1:12" customFormat="1" ht="21" customHeight="1" x14ac:dyDescent="0.25">
      <c r="A141" s="7" t="s">
        <v>248</v>
      </c>
      <c r="B141" s="220">
        <f>SourceData!B48</f>
        <v>140</v>
      </c>
      <c r="C141" s="220">
        <f>SourceData!C48</f>
        <v>160</v>
      </c>
      <c r="D141" s="220">
        <f>SourceData!D48</f>
        <v>139</v>
      </c>
      <c r="E141" s="220">
        <f>SourceData!E48</f>
        <v>155</v>
      </c>
      <c r="F141" s="220">
        <f>SourceData!F48</f>
        <v>155</v>
      </c>
      <c r="J141" s="9" t="s">
        <v>249</v>
      </c>
      <c r="L141" s="120"/>
    </row>
    <row r="142" spans="1:12" customFormat="1" ht="21" customHeight="1" x14ac:dyDescent="0.25">
      <c r="A142" s="7" t="s">
        <v>250</v>
      </c>
      <c r="B142" s="220">
        <f>SourceData!B59</f>
        <v>12</v>
      </c>
      <c r="C142" s="220">
        <f>SourceData!C59</f>
        <v>7</v>
      </c>
      <c r="D142" s="220">
        <f>SourceData!D59</f>
        <v>7</v>
      </c>
      <c r="E142" s="220">
        <f>SourceData!E59</f>
        <v>7</v>
      </c>
      <c r="F142" s="220">
        <f>SourceData!F59</f>
        <v>6</v>
      </c>
      <c r="J142" s="9"/>
      <c r="L142" s="120"/>
    </row>
    <row r="143" spans="1:12" customFormat="1" ht="21" customHeight="1" x14ac:dyDescent="0.25">
      <c r="A143" s="7" t="s">
        <v>251</v>
      </c>
      <c r="B143" s="220">
        <f>SourceData!B58</f>
        <v>164</v>
      </c>
      <c r="C143" s="220">
        <f>SourceData!C58</f>
        <v>152</v>
      </c>
      <c r="D143" s="220">
        <f>SourceData!D58</f>
        <v>171</v>
      </c>
      <c r="E143" s="220">
        <f>SourceData!E58</f>
        <v>183</v>
      </c>
      <c r="F143" s="220">
        <f>SourceData!F58</f>
        <v>143</v>
      </c>
      <c r="J143" s="9" t="s">
        <v>252</v>
      </c>
      <c r="L143" s="9"/>
    </row>
    <row r="144" spans="1:12" customFormat="1" ht="21" customHeight="1" x14ac:dyDescent="0.25">
      <c r="A144" s="112" t="s">
        <v>204</v>
      </c>
      <c r="B144" s="104"/>
      <c r="C144" s="104"/>
      <c r="D144" s="104"/>
      <c r="J144" s="9"/>
      <c r="L144" s="9"/>
    </row>
    <row r="145" spans="1:12" customFormat="1" ht="21" customHeight="1" x14ac:dyDescent="0.25">
      <c r="A145" s="319"/>
      <c r="B145" s="319"/>
      <c r="C145" s="319"/>
      <c r="D145" s="319"/>
      <c r="E145" s="319"/>
      <c r="F145" s="319"/>
      <c r="G145" s="319"/>
      <c r="H145" s="319"/>
      <c r="J145" s="9"/>
      <c r="L145" s="9"/>
    </row>
    <row r="146" spans="1:12" customFormat="1" ht="21" customHeight="1" x14ac:dyDescent="0.25">
      <c r="A146" s="362"/>
      <c r="B146" s="362"/>
      <c r="C146" s="362"/>
      <c r="D146" s="362"/>
      <c r="E146" s="362"/>
      <c r="F146" s="362"/>
      <c r="G146" s="362"/>
      <c r="H146" s="362"/>
      <c r="J146" s="9"/>
      <c r="L146" s="9"/>
    </row>
    <row r="147" spans="1:12" customFormat="1" ht="21" customHeight="1" x14ac:dyDescent="0.3">
      <c r="A147" s="114" t="s">
        <v>253</v>
      </c>
      <c r="J147" s="9"/>
      <c r="L147" s="9"/>
    </row>
    <row r="148" spans="1:12" customFormat="1" ht="21" customHeight="1" x14ac:dyDescent="0.25">
      <c r="A148" s="116" t="s">
        <v>254</v>
      </c>
      <c r="J148" s="9"/>
    </row>
    <row r="149" spans="1:12" customFormat="1" ht="21" customHeight="1" x14ac:dyDescent="0.25">
      <c r="A149" s="4" t="s">
        <v>192</v>
      </c>
      <c r="B149" s="5">
        <f>IF($C$9&gt;0,$C$9-5,"")</f>
        <v>2019</v>
      </c>
      <c r="C149" s="18">
        <f>IF($C$9&gt;0,$C$9-4,"")</f>
        <v>2020</v>
      </c>
      <c r="D149" s="18">
        <f>IF($C$9&gt;0,$C$9-3,"")</f>
        <v>2021</v>
      </c>
      <c r="E149" s="18">
        <f>IF($C$9&gt;0,$C$9-2,"")</f>
        <v>2022</v>
      </c>
      <c r="F149" s="18">
        <f>IF($C$9&gt;0,$C$9-1,"")</f>
        <v>2023</v>
      </c>
      <c r="J149" s="9"/>
    </row>
    <row r="150" spans="1:12" customFormat="1" ht="21" customHeight="1" x14ac:dyDescent="0.25">
      <c r="A150" s="7" t="s">
        <v>255</v>
      </c>
      <c r="B150" s="220"/>
      <c r="C150" s="220"/>
      <c r="D150" s="220"/>
      <c r="E150" s="220"/>
      <c r="F150" s="220"/>
      <c r="J150" s="9"/>
    </row>
    <row r="151" spans="1:12" customFormat="1" ht="21" customHeight="1" x14ac:dyDescent="0.25">
      <c r="A151" s="7" t="s">
        <v>256</v>
      </c>
      <c r="B151" s="220">
        <f>SourceData!B68</f>
        <v>1</v>
      </c>
      <c r="C151" s="220">
        <f>SourceData!C68</f>
        <v>3</v>
      </c>
      <c r="D151" s="220">
        <f>SourceData!D68</f>
        <v>3</v>
      </c>
      <c r="E151" s="220">
        <f>SourceData!E68</f>
        <v>3</v>
      </c>
      <c r="F151" s="220">
        <f>SourceData!F68</f>
        <v>8</v>
      </c>
      <c r="J151" s="9" t="s">
        <v>257</v>
      </c>
    </row>
    <row r="152" spans="1:12" customFormat="1" ht="21" customHeight="1" x14ac:dyDescent="0.25">
      <c r="A152" s="7" t="s">
        <v>258</v>
      </c>
      <c r="B152" s="220"/>
      <c r="C152" s="220"/>
      <c r="D152" s="220"/>
      <c r="E152" s="220"/>
      <c r="F152" s="220"/>
      <c r="J152" s="9"/>
    </row>
    <row r="153" spans="1:12" customFormat="1" ht="21" customHeight="1" x14ac:dyDescent="0.25">
      <c r="A153" s="7" t="s">
        <v>259</v>
      </c>
      <c r="B153" s="220">
        <f>SourceData!B69</f>
        <v>3</v>
      </c>
      <c r="C153" s="220">
        <f>SourceData!C69</f>
        <v>2</v>
      </c>
      <c r="D153" s="220">
        <f>SourceData!D69</f>
        <v>4</v>
      </c>
      <c r="E153" s="220">
        <f>SourceData!E69</f>
        <v>4</v>
      </c>
      <c r="F153" s="220">
        <f>SourceData!F69</f>
        <v>2</v>
      </c>
      <c r="J153" s="9" t="s">
        <v>260</v>
      </c>
    </row>
    <row r="154" spans="1:12" customFormat="1" ht="21" customHeight="1" x14ac:dyDescent="0.25">
      <c r="A154" s="112" t="s">
        <v>204</v>
      </c>
      <c r="B154" s="104"/>
      <c r="C154" s="104"/>
      <c r="D154" s="104"/>
      <c r="J154" s="9"/>
    </row>
    <row r="155" spans="1:12" customFormat="1" ht="21" customHeight="1" x14ac:dyDescent="0.25">
      <c r="A155" s="319"/>
      <c r="B155" s="319"/>
      <c r="C155" s="319"/>
      <c r="D155" s="319"/>
      <c r="E155" s="319"/>
      <c r="F155" s="319"/>
      <c r="G155" s="319"/>
      <c r="H155" s="319"/>
      <c r="J155" s="9"/>
    </row>
    <row r="156" spans="1:12" customFormat="1" ht="21" customHeight="1" x14ac:dyDescent="0.25">
      <c r="A156" s="362"/>
      <c r="B156" s="362"/>
      <c r="C156" s="362"/>
      <c r="D156" s="362"/>
      <c r="E156" s="362"/>
      <c r="F156" s="362"/>
      <c r="G156" s="362"/>
      <c r="H156" s="362"/>
      <c r="J156" s="9"/>
      <c r="L156" s="9"/>
    </row>
    <row r="157" spans="1:12" customFormat="1" ht="21" customHeight="1" x14ac:dyDescent="0.3">
      <c r="A157" s="114" t="s">
        <v>261</v>
      </c>
      <c r="J157" s="9"/>
    </row>
    <row r="158" spans="1:12" customFormat="1" ht="21" customHeight="1" x14ac:dyDescent="0.25">
      <c r="A158" s="116" t="s">
        <v>262</v>
      </c>
      <c r="J158" s="9"/>
      <c r="L158" s="9"/>
    </row>
    <row r="159" spans="1:12" customFormat="1" ht="21" customHeight="1" x14ac:dyDescent="0.25">
      <c r="A159" s="4" t="s">
        <v>192</v>
      </c>
      <c r="B159" s="5">
        <f>IF($C$9&gt;0,$C$9-5,"")</f>
        <v>2019</v>
      </c>
      <c r="C159" s="18">
        <f>IF($C$9&gt;0,$C$9-4,"")</f>
        <v>2020</v>
      </c>
      <c r="D159" s="18">
        <f>IF($C$9&gt;0,$C$9-3,"")</f>
        <v>2021</v>
      </c>
      <c r="E159" s="18">
        <f>IF($C$9&gt;0,$C$9-2,"")</f>
        <v>2022</v>
      </c>
      <c r="F159" s="18">
        <f>IF($C$9&gt;0,$C$9-1,"")</f>
        <v>2023</v>
      </c>
      <c r="J159" s="9" t="s">
        <v>263</v>
      </c>
      <c r="L159" s="9"/>
    </row>
    <row r="160" spans="1:12" customFormat="1" ht="21" customHeight="1" x14ac:dyDescent="0.25">
      <c r="A160" s="7" t="s">
        <v>264</v>
      </c>
      <c r="B160" s="220"/>
      <c r="C160" s="220"/>
      <c r="D160" s="220"/>
      <c r="E160" s="220"/>
      <c r="F160" s="220"/>
      <c r="J160" s="9"/>
    </row>
    <row r="161" spans="1:12" customFormat="1" ht="21" customHeight="1" x14ac:dyDescent="0.25">
      <c r="A161" s="7" t="s">
        <v>265</v>
      </c>
      <c r="B161" s="220" t="str">
        <f>SourceData!B78</f>
        <v>0.0</v>
      </c>
      <c r="C161" s="220" t="str">
        <f>SourceData!C78</f>
        <v>0.0</v>
      </c>
      <c r="D161" s="220" t="str">
        <f>SourceData!D78</f>
        <v>0.0</v>
      </c>
      <c r="E161" s="220" t="str">
        <f>SourceData!E78</f>
        <v>0.0</v>
      </c>
      <c r="F161" s="220" t="str">
        <f>SourceData!F78</f>
        <v>0.0</v>
      </c>
      <c r="J161" s="9"/>
    </row>
    <row r="162" spans="1:12" customFormat="1" ht="21" customHeight="1" x14ac:dyDescent="0.25">
      <c r="A162" s="112" t="s">
        <v>204</v>
      </c>
      <c r="B162" s="104"/>
      <c r="C162" s="104"/>
      <c r="D162" s="104"/>
      <c r="J162" s="9"/>
    </row>
    <row r="163" spans="1:12" customFormat="1" ht="21" customHeight="1" x14ac:dyDescent="0.25">
      <c r="A163" s="319"/>
      <c r="B163" s="319"/>
      <c r="C163" s="319"/>
      <c r="D163" s="319"/>
      <c r="E163" s="319"/>
      <c r="F163" s="319"/>
      <c r="G163" s="319"/>
      <c r="H163" s="319"/>
      <c r="J163" s="9"/>
      <c r="L163" s="9"/>
    </row>
    <row r="164" spans="1:12" customFormat="1" ht="21" customHeight="1" x14ac:dyDescent="0.25">
      <c r="A164" s="362"/>
      <c r="B164" s="362"/>
      <c r="C164" s="362"/>
      <c r="D164" s="362"/>
      <c r="E164" s="362"/>
      <c r="F164" s="362"/>
      <c r="G164" s="362"/>
      <c r="H164" s="362"/>
      <c r="J164" s="9"/>
      <c r="L164" s="9"/>
    </row>
    <row r="165" spans="1:12" customFormat="1" ht="21" customHeight="1" x14ac:dyDescent="0.25">
      <c r="J165" s="9"/>
      <c r="L165" s="9"/>
    </row>
    <row r="166" spans="1:12" customFormat="1" ht="21" customHeight="1" x14ac:dyDescent="0.3">
      <c r="A166" s="114" t="s">
        <v>266</v>
      </c>
      <c r="J166" s="115" t="s">
        <v>191</v>
      </c>
    </row>
    <row r="167" spans="1:12" customFormat="1" ht="21" customHeight="1" x14ac:dyDescent="0.25">
      <c r="A167" s="4" t="s">
        <v>192</v>
      </c>
      <c r="B167" s="221"/>
      <c r="C167" s="221"/>
      <c r="D167" s="221"/>
      <c r="J167" s="9" t="s">
        <v>267</v>
      </c>
    </row>
    <row r="168" spans="1:12" customFormat="1" ht="21" customHeight="1" x14ac:dyDescent="0.25">
      <c r="A168" s="7" t="s">
        <v>147</v>
      </c>
      <c r="B168" s="222"/>
      <c r="C168" s="222"/>
      <c r="D168" s="222"/>
      <c r="J168" s="9" t="s">
        <v>268</v>
      </c>
    </row>
    <row r="169" spans="1:12" customFormat="1" ht="21" customHeight="1" x14ac:dyDescent="0.25">
      <c r="A169" s="7" t="s">
        <v>149</v>
      </c>
      <c r="B169" s="222"/>
      <c r="C169" s="222"/>
      <c r="D169" s="222"/>
      <c r="J169" s="9" t="s">
        <v>268</v>
      </c>
    </row>
    <row r="170" spans="1:12" customFormat="1" ht="21" customHeight="1" x14ac:dyDescent="0.25">
      <c r="A170" s="7" t="s">
        <v>151</v>
      </c>
      <c r="B170" s="222"/>
      <c r="C170" s="222"/>
      <c r="D170" s="222"/>
      <c r="J170" s="9" t="s">
        <v>268</v>
      </c>
    </row>
    <row r="171" spans="1:12" customFormat="1" ht="21" customHeight="1" x14ac:dyDescent="0.25">
      <c r="A171" s="7" t="s">
        <v>153</v>
      </c>
      <c r="B171" s="33"/>
      <c r="C171" s="33"/>
      <c r="D171" s="33"/>
      <c r="J171" s="9" t="s">
        <v>269</v>
      </c>
    </row>
    <row r="172" spans="1:12" customFormat="1" ht="21" customHeight="1" x14ac:dyDescent="0.25">
      <c r="A172" s="112" t="s">
        <v>204</v>
      </c>
      <c r="B172" s="104"/>
      <c r="C172" s="104"/>
      <c r="D172" s="104"/>
    </row>
    <row r="173" spans="1:12" customFormat="1" ht="21" customHeight="1" x14ac:dyDescent="0.25">
      <c r="A173" s="356"/>
      <c r="B173" s="336"/>
      <c r="C173" s="336"/>
      <c r="D173" s="336"/>
      <c r="E173" s="336"/>
      <c r="F173" s="336"/>
      <c r="G173" s="336"/>
      <c r="H173" s="336"/>
    </row>
    <row r="174" spans="1:12" customFormat="1" ht="21" customHeight="1" x14ac:dyDescent="0.25">
      <c r="A174" s="341"/>
      <c r="B174" s="334"/>
      <c r="C174" s="334"/>
      <c r="D174" s="334"/>
      <c r="E174" s="334"/>
      <c r="F174" s="334"/>
      <c r="G174" s="334"/>
      <c r="H174" s="334"/>
    </row>
    <row r="175" spans="1:12" s="114" customFormat="1" ht="21" customHeight="1" x14ac:dyDescent="0.3">
      <c r="A175" s="114" t="s">
        <v>270</v>
      </c>
    </row>
    <row r="176" spans="1:12" customFormat="1" ht="21" customHeight="1" x14ac:dyDescent="0.25">
      <c r="A176" s="4" t="s">
        <v>271</v>
      </c>
      <c r="B176" s="5" t="s">
        <v>272</v>
      </c>
      <c r="C176" s="18" t="s">
        <v>136</v>
      </c>
      <c r="D176" s="18" t="s">
        <v>273</v>
      </c>
    </row>
    <row r="177" spans="1:13" customFormat="1" ht="21" customHeight="1" x14ac:dyDescent="0.25">
      <c r="A177" s="7" t="s">
        <v>274</v>
      </c>
      <c r="B177" s="223"/>
      <c r="C177" s="224"/>
      <c r="D177" s="224"/>
      <c r="J177" s="9" t="s">
        <v>275</v>
      </c>
    </row>
    <row r="178" spans="1:13" customFormat="1" ht="21" customHeight="1" x14ac:dyDescent="0.25">
      <c r="B178" s="109"/>
      <c r="C178" s="109"/>
      <c r="D178" s="109"/>
      <c r="F178" s="9"/>
    </row>
    <row r="179" spans="1:13" customFormat="1" ht="21" customHeight="1" x14ac:dyDescent="0.25">
      <c r="A179" s="6" t="s">
        <v>192</v>
      </c>
      <c r="B179" s="18">
        <f>IF($C$9&gt;0,$C$9-5,"")</f>
        <v>2019</v>
      </c>
      <c r="C179" s="18">
        <f>IF($C$9&gt;0,$C$9-4,"")</f>
        <v>2020</v>
      </c>
      <c r="D179" s="18">
        <f>IF($C$9&gt;0,$C$9-3,"")</f>
        <v>2021</v>
      </c>
      <c r="E179" s="18">
        <f>IF($C$9&gt;0,$C$9-2,"")</f>
        <v>2022</v>
      </c>
      <c r="F179" s="18">
        <f>IF($C$9&gt;0,$C$9-1,"")</f>
        <v>2023</v>
      </c>
    </row>
    <row r="180" spans="1:13" customFormat="1" ht="21" customHeight="1" x14ac:dyDescent="0.25">
      <c r="A180" s="7" t="s">
        <v>276</v>
      </c>
      <c r="B180" s="217"/>
      <c r="C180" s="225"/>
      <c r="D180" s="225"/>
      <c r="E180" s="225"/>
      <c r="F180" s="205">
        <v>5.8</v>
      </c>
      <c r="J180" s="9" t="s">
        <v>277</v>
      </c>
    </row>
    <row r="181" spans="1:13" customFormat="1" ht="21" customHeight="1" x14ac:dyDescent="0.25">
      <c r="A181" s="6"/>
    </row>
    <row r="182" spans="1:13" s="95" customFormat="1" ht="21" customHeight="1" x14ac:dyDescent="0.2">
      <c r="A182" s="121" t="s">
        <v>278</v>
      </c>
      <c r="M182" s="122"/>
    </row>
    <row r="183" spans="1:13" s="95" customFormat="1" ht="21" customHeight="1" x14ac:dyDescent="0.2">
      <c r="A183" s="121"/>
      <c r="M183" s="122"/>
    </row>
    <row r="184" spans="1:13" s="95" customFormat="1" ht="25.5" customHeight="1" x14ac:dyDescent="0.2">
      <c r="B184" s="53" t="s">
        <v>279</v>
      </c>
      <c r="C184" s="53" t="s">
        <v>280</v>
      </c>
      <c r="D184" s="53" t="s">
        <v>281</v>
      </c>
      <c r="E184" s="53" t="s">
        <v>282</v>
      </c>
      <c r="J184" s="95" t="s">
        <v>283</v>
      </c>
    </row>
    <row r="185" spans="1:13" s="95" customFormat="1" ht="21" customHeight="1" x14ac:dyDescent="0.25">
      <c r="A185" s="95" t="s">
        <v>147</v>
      </c>
      <c r="B185" s="55">
        <f>IF(F$180&gt;0,($C$12/1000)*$F$180*C185,"")</f>
        <v>16.345681693306261</v>
      </c>
      <c r="C185" s="54">
        <f>IF(F$180&gt;0,'Beräkning avskjutning'!G124,"")</f>
        <v>0.25495033305631692</v>
      </c>
      <c r="D185" s="56">
        <f>IF(F$180&gt;0,F$180*C185,"")</f>
        <v>1.4787119317266382</v>
      </c>
      <c r="E185" s="226">
        <f>IF(F180&gt;0,C185/(C185+C186),"")</f>
        <v>0.32433416179893121</v>
      </c>
    </row>
    <row r="186" spans="1:13" s="95" customFormat="1" ht="21" customHeight="1" x14ac:dyDescent="0.2">
      <c r="A186" s="95" t="s">
        <v>284</v>
      </c>
      <c r="B186" s="55">
        <f>IF(F$180&gt;0,($C$12/1000)*$F$180*C186,"")</f>
        <v>34.05197485524954</v>
      </c>
      <c r="C186" s="54">
        <f>IF(F$180&gt;0,'Beräkning avskjutning'!G125,"")</f>
        <v>0.53112268386618566</v>
      </c>
      <c r="D186" s="56">
        <f>IF(F$180&gt;0,F$180*C186,"")</f>
        <v>3.0805115664238767</v>
      </c>
      <c r="E186" s="82"/>
    </row>
    <row r="187" spans="1:13" s="95" customFormat="1" ht="21" customHeight="1" x14ac:dyDescent="0.2">
      <c r="A187" s="95" t="s">
        <v>151</v>
      </c>
      <c r="B187" s="55">
        <f>IF(F$180&gt;0,($C$12/1000)*$F$180*C187,"")</f>
        <v>13.715543451444201</v>
      </c>
      <c r="C187" s="54">
        <f>IF(F$180&gt;0,'Beräkning avskjutning'!G126,"")</f>
        <v>0.2139269830774973</v>
      </c>
      <c r="D187" s="56">
        <f>IF(F$180&gt;0,F$180*C187,"")</f>
        <v>1.2407765018494843</v>
      </c>
      <c r="E187" s="83"/>
    </row>
    <row r="188" spans="1:13" s="95" customFormat="1" ht="21" customHeight="1" x14ac:dyDescent="0.2">
      <c r="A188" s="95" t="s">
        <v>285</v>
      </c>
      <c r="B188" s="55">
        <f>IF($F180&gt;0,SUM(B185:B187),"")</f>
        <v>64.113200000000006</v>
      </c>
      <c r="C188" s="54">
        <f>IF($F180&gt;0,SUM(C185:C187),"")</f>
        <v>0.99999999999999978</v>
      </c>
      <c r="D188" s="56">
        <f>IF($F180&gt;0,SUM(D185:D187),"")</f>
        <v>5.7999999999999989</v>
      </c>
      <c r="E188" s="83"/>
    </row>
    <row r="189" spans="1:13" s="95" customFormat="1" ht="21" customHeight="1" x14ac:dyDescent="0.2">
      <c r="J189" s="123"/>
    </row>
    <row r="190" spans="1:13" customFormat="1" ht="21" customHeight="1" x14ac:dyDescent="0.25">
      <c r="A190" s="112" t="s">
        <v>173</v>
      </c>
      <c r="B190" s="104"/>
      <c r="C190" s="104"/>
      <c r="D190" s="104"/>
      <c r="J190" s="9"/>
    </row>
    <row r="191" spans="1:13" customFormat="1" ht="21" customHeight="1" x14ac:dyDescent="0.25">
      <c r="A191" s="357"/>
      <c r="B191" s="358"/>
      <c r="C191" s="358"/>
      <c r="D191" s="358"/>
      <c r="E191" s="358"/>
      <c r="F191" s="358"/>
      <c r="G191" s="358"/>
      <c r="H191" s="358"/>
      <c r="J191" s="9"/>
    </row>
    <row r="192" spans="1:13" customFormat="1" ht="21" customHeight="1" x14ac:dyDescent="0.25">
      <c r="A192" s="359"/>
      <c r="B192" s="360"/>
      <c r="C192" s="360"/>
      <c r="D192" s="360"/>
      <c r="E192" s="360"/>
      <c r="F192" s="360"/>
      <c r="G192" s="360"/>
      <c r="H192" s="360"/>
      <c r="J192" s="9"/>
    </row>
    <row r="193" spans="1:10" s="95" customFormat="1" ht="21" customHeight="1" x14ac:dyDescent="0.2"/>
    <row r="194" spans="1:10" customFormat="1" ht="21" customHeight="1" x14ac:dyDescent="0.25">
      <c r="A194" s="4" t="s">
        <v>286</v>
      </c>
      <c r="B194" s="5" t="s">
        <v>273</v>
      </c>
      <c r="C194" s="18" t="s">
        <v>136</v>
      </c>
      <c r="D194" s="18" t="s">
        <v>272</v>
      </c>
    </row>
    <row r="195" spans="1:10" customFormat="1" ht="21" customHeight="1" x14ac:dyDescent="0.25">
      <c r="A195" s="7" t="s">
        <v>287</v>
      </c>
      <c r="B195" s="223"/>
      <c r="C195" s="223"/>
      <c r="D195" s="223"/>
      <c r="J195" s="9" t="s">
        <v>288</v>
      </c>
    </row>
    <row r="196" spans="1:10" customFormat="1" ht="21" customHeight="1" x14ac:dyDescent="0.25">
      <c r="A196" s="7" t="s">
        <v>289</v>
      </c>
      <c r="B196" s="223"/>
      <c r="C196" s="223"/>
      <c r="D196" s="223"/>
      <c r="G196" s="124"/>
      <c r="J196" s="9" t="s">
        <v>288</v>
      </c>
    </row>
    <row r="197" spans="1:10" customFormat="1" ht="21" customHeight="1" x14ac:dyDescent="0.25">
      <c r="A197" s="7" t="s">
        <v>290</v>
      </c>
      <c r="B197" s="223"/>
      <c r="C197" s="223"/>
      <c r="D197" s="223"/>
      <c r="J197" s="9" t="s">
        <v>288</v>
      </c>
    </row>
    <row r="198" spans="1:10" customFormat="1" ht="21" customHeight="1" x14ac:dyDescent="0.25">
      <c r="A198" s="7" t="s">
        <v>291</v>
      </c>
      <c r="B198" s="223"/>
      <c r="C198" s="223"/>
      <c r="D198" s="223"/>
      <c r="J198" s="9" t="s">
        <v>288</v>
      </c>
    </row>
    <row r="199" spans="1:10" customFormat="1" ht="21" customHeight="1" x14ac:dyDescent="0.25"/>
    <row r="200" spans="1:10" s="114" customFormat="1" ht="21" customHeight="1" x14ac:dyDescent="0.3">
      <c r="A200" s="114" t="s">
        <v>292</v>
      </c>
    </row>
    <row r="201" spans="1:10" s="95" customFormat="1" ht="21" customHeight="1" x14ac:dyDescent="0.2">
      <c r="J201" s="123" t="s">
        <v>293</v>
      </c>
    </row>
    <row r="202" spans="1:10" s="95" customFormat="1" ht="21" customHeight="1" x14ac:dyDescent="0.25">
      <c r="A202" s="121" t="s">
        <v>294</v>
      </c>
      <c r="B202" s="125"/>
      <c r="D202" s="121" t="s">
        <v>295</v>
      </c>
      <c r="J202" s="126" t="s">
        <v>296</v>
      </c>
    </row>
    <row r="203" spans="1:10" s="95" customFormat="1" ht="21" customHeight="1" x14ac:dyDescent="0.25">
      <c r="A203" s="95" t="s">
        <v>297</v>
      </c>
      <c r="B203" s="227">
        <f>IF(C12&gt;1,C12,"")</f>
        <v>11054</v>
      </c>
      <c r="D203" s="127" t="s">
        <v>298</v>
      </c>
      <c r="E203" s="128"/>
      <c r="F203" s="129" t="s">
        <v>299</v>
      </c>
      <c r="G203" s="129" t="s">
        <v>300</v>
      </c>
      <c r="H203" s="129" t="s">
        <v>301</v>
      </c>
      <c r="J203" s="123" t="s">
        <v>302</v>
      </c>
    </row>
    <row r="204" spans="1:10" s="95" customFormat="1" ht="21" customHeight="1" x14ac:dyDescent="0.25">
      <c r="A204" s="121" t="s">
        <v>303</v>
      </c>
      <c r="B204" s="130"/>
      <c r="D204" s="131" t="s">
        <v>282</v>
      </c>
      <c r="F204" s="228">
        <f>F106</f>
        <v>0.39349999999999996</v>
      </c>
      <c r="G204" s="228">
        <f>IF(SUM(C106:E106)&gt;0,SUM(C106:E106)/3,"")</f>
        <v>0.40666666666666668</v>
      </c>
      <c r="H204" s="228">
        <f>IF(E106&gt;0,E106,"")</f>
        <v>0.46</v>
      </c>
      <c r="J204" s="123" t="s">
        <v>304</v>
      </c>
    </row>
    <row r="205" spans="1:10" s="95" customFormat="1" ht="21" customHeight="1" x14ac:dyDescent="0.25">
      <c r="A205" s="95" t="s">
        <v>305</v>
      </c>
      <c r="B205" s="229" t="str">
        <f>IF(B61&gt;0,B61,"")</f>
        <v>7.6</v>
      </c>
      <c r="D205" s="131" t="s">
        <v>306</v>
      </c>
      <c r="F205" s="228">
        <f>F105</f>
        <v>0.54325000000000001</v>
      </c>
      <c r="G205" s="228">
        <f>IF(SUM(C105:E105)&gt;0,SUM(C105:E105)/3,"")</f>
        <v>0.54799999999999993</v>
      </c>
      <c r="H205" s="228">
        <f>IF(E105&gt;0,E105,"")</f>
        <v>0.59299999999999997</v>
      </c>
      <c r="J205" s="123"/>
    </row>
    <row r="206" spans="1:10" s="95" customFormat="1" ht="21" customHeight="1" x14ac:dyDescent="0.25">
      <c r="A206" s="95" t="s">
        <v>282</v>
      </c>
      <c r="B206" s="228">
        <f>IF(B64&gt;0,B64,"")</f>
        <v>0.4</v>
      </c>
      <c r="D206" s="132" t="s">
        <v>307</v>
      </c>
      <c r="J206" s="123"/>
    </row>
    <row r="207" spans="1:10" s="95" customFormat="1" ht="21" customHeight="1" x14ac:dyDescent="0.25">
      <c r="B207" s="125"/>
      <c r="D207" s="131" t="s">
        <v>308</v>
      </c>
      <c r="F207" s="228">
        <v>0.52</v>
      </c>
      <c r="J207" s="123" t="s">
        <v>309</v>
      </c>
    </row>
    <row r="208" spans="1:10" s="95" customFormat="1" ht="21" customHeight="1" x14ac:dyDescent="0.2">
      <c r="B208" s="125"/>
      <c r="D208" s="131"/>
      <c r="J208" s="123" t="s">
        <v>310</v>
      </c>
    </row>
    <row r="209" spans="1:13" s="95" customFormat="1" ht="21" customHeight="1" x14ac:dyDescent="0.2">
      <c r="A209" s="121" t="s">
        <v>311</v>
      </c>
      <c r="B209" s="128"/>
      <c r="D209" s="133" t="s">
        <v>312</v>
      </c>
      <c r="F209" s="129" t="s">
        <v>313</v>
      </c>
      <c r="G209" s="134" t="s">
        <v>314</v>
      </c>
      <c r="H209" s="134" t="s">
        <v>315</v>
      </c>
      <c r="J209" s="123"/>
    </row>
    <row r="210" spans="1:13" s="95" customFormat="1" ht="21" customHeight="1" x14ac:dyDescent="0.25">
      <c r="A210" s="95" t="s">
        <v>316</v>
      </c>
      <c r="B210" s="227">
        <f>IF(D86&gt;0,D86,"")</f>
        <v>6</v>
      </c>
      <c r="D210" s="95" t="s">
        <v>317</v>
      </c>
      <c r="F210" s="229" t="str">
        <f>IF(D$300="","",D$282*0.5)</f>
        <v/>
      </c>
      <c r="G210" s="229" t="str">
        <f>IF(E274&gt;0,E274,"")</f>
        <v/>
      </c>
      <c r="H210" s="229">
        <f>IF(E281&gt;0,E281,"")</f>
        <v>2</v>
      </c>
      <c r="J210" s="123"/>
    </row>
    <row r="211" spans="1:13" s="95" customFormat="1" ht="21" customHeight="1" x14ac:dyDescent="0.25">
      <c r="A211" s="95" t="s">
        <v>318</v>
      </c>
      <c r="B211" s="227">
        <f>IF(D87&gt;0,D87,"")</f>
        <v>2</v>
      </c>
      <c r="D211" s="95" t="s">
        <v>319</v>
      </c>
      <c r="F211" s="229" t="str">
        <f>IF(D$300="","",D$300*0.5)</f>
        <v/>
      </c>
      <c r="G211" s="229" t="str">
        <f>IF(E275&gt;0,E275,"")</f>
        <v/>
      </c>
      <c r="H211" s="229">
        <f>IF(E282&gt;0,E282,"")</f>
        <v>1</v>
      </c>
      <c r="J211" s="123"/>
    </row>
    <row r="212" spans="1:13" s="95" customFormat="1" ht="21" customHeight="1" x14ac:dyDescent="0.25">
      <c r="A212" s="95" t="s">
        <v>320</v>
      </c>
      <c r="B212" s="227">
        <f>IF(D88&gt;0,D88,"")</f>
        <v>5</v>
      </c>
      <c r="D212" s="95" t="s">
        <v>321</v>
      </c>
      <c r="F212" s="229" t="str">
        <f>IF(E300="","",E300)</f>
        <v/>
      </c>
      <c r="G212" s="229" t="str">
        <f>IF(E276&gt;0,E276,"")</f>
        <v/>
      </c>
      <c r="H212" s="229">
        <f>IF(E283&gt;0,E283,"")</f>
        <v>1</v>
      </c>
      <c r="J212" s="123" t="s">
        <v>322</v>
      </c>
    </row>
    <row r="213" spans="1:13" s="95" customFormat="1" ht="21" customHeight="1" x14ac:dyDescent="0.2">
      <c r="A213" s="121" t="s">
        <v>323</v>
      </c>
      <c r="B213" s="130"/>
      <c r="E213" s="128"/>
      <c r="F213" s="128"/>
      <c r="G213" s="128"/>
      <c r="J213" s="123" t="s">
        <v>324</v>
      </c>
    </row>
    <row r="214" spans="1:13" s="95" customFormat="1" ht="21" customHeight="1" x14ac:dyDescent="0.25">
      <c r="A214" s="135" t="s">
        <v>305</v>
      </c>
      <c r="B214" s="229">
        <f>IF(F180&gt;0,F180,"")</f>
        <v>5.8</v>
      </c>
      <c r="E214" s="128"/>
      <c r="F214" s="130"/>
      <c r="G214" s="130"/>
      <c r="J214" s="123"/>
    </row>
    <row r="215" spans="1:13" s="95" customFormat="1" ht="21" customHeight="1" x14ac:dyDescent="0.2">
      <c r="A215" s="135"/>
      <c r="B215" s="128"/>
      <c r="E215" s="128"/>
      <c r="F215" s="130"/>
      <c r="G215" s="130"/>
      <c r="J215" s="123"/>
    </row>
    <row r="216" spans="1:13" s="95" customFormat="1" ht="21" customHeight="1" x14ac:dyDescent="0.2">
      <c r="A216" s="121" t="s">
        <v>325</v>
      </c>
      <c r="J216" s="123" t="s">
        <v>326</v>
      </c>
      <c r="M216" s="122"/>
    </row>
    <row r="217" spans="1:13" s="95" customFormat="1" ht="21" customHeight="1" x14ac:dyDescent="0.2">
      <c r="A217" s="121"/>
      <c r="J217" s="123" t="s">
        <v>327</v>
      </c>
      <c r="M217" s="122"/>
    </row>
    <row r="218" spans="1:13" s="95" customFormat="1" ht="25.5" customHeight="1" x14ac:dyDescent="0.2">
      <c r="B218" s="53" t="s">
        <v>279</v>
      </c>
      <c r="C218" s="53" t="s">
        <v>280</v>
      </c>
      <c r="D218" s="53" t="s">
        <v>281</v>
      </c>
      <c r="E218" s="53" t="s">
        <v>282</v>
      </c>
      <c r="J218" s="123" t="s">
        <v>328</v>
      </c>
    </row>
    <row r="219" spans="1:13" s="95" customFormat="1" ht="21" customHeight="1" x14ac:dyDescent="0.25">
      <c r="A219" s="95" t="s">
        <v>147</v>
      </c>
      <c r="B219" s="230">
        <v>16</v>
      </c>
      <c r="C219" s="54">
        <f>IF(B219&gt;0,B219/B$222,"")</f>
        <v>0.22535211267605634</v>
      </c>
      <c r="D219" s="56">
        <f>IF(B219&gt;0,B219/(C$12/1000),"")</f>
        <v>1.4474398407816176</v>
      </c>
      <c r="E219" s="226">
        <f>IF(D222&gt;0,C219/(C219+C220),"")</f>
        <v>0.29090909090909089</v>
      </c>
      <c r="J219" s="123" t="s">
        <v>329</v>
      </c>
    </row>
    <row r="220" spans="1:13" s="95" customFormat="1" ht="21" customHeight="1" x14ac:dyDescent="0.2">
      <c r="A220" s="95" t="s">
        <v>284</v>
      </c>
      <c r="B220" s="230">
        <v>39</v>
      </c>
      <c r="C220" s="54">
        <f>IF(B220&gt;0,B220/B$222,"")</f>
        <v>0.54929577464788737</v>
      </c>
      <c r="D220" s="56">
        <f>IF(B220&gt;0,B220/(C$12/1000),"")</f>
        <v>3.5281346119051924</v>
      </c>
      <c r="J220" s="123" t="s">
        <v>330</v>
      </c>
    </row>
    <row r="221" spans="1:13" s="95" customFormat="1" ht="21" customHeight="1" x14ac:dyDescent="0.2">
      <c r="A221" s="95" t="s">
        <v>151</v>
      </c>
      <c r="B221" s="230">
        <v>16</v>
      </c>
      <c r="C221" s="54">
        <f>IF(B221&gt;0,B221/B$222,"")</f>
        <v>0.22535211267605634</v>
      </c>
      <c r="D221" s="56">
        <f>IF(B221&gt;0,B221/(C$12/1000),"")</f>
        <v>1.4474398407816176</v>
      </c>
      <c r="J221" s="123" t="s">
        <v>331</v>
      </c>
    </row>
    <row r="222" spans="1:13" s="95" customFormat="1" ht="21" customHeight="1" x14ac:dyDescent="0.2">
      <c r="A222" s="95" t="s">
        <v>285</v>
      </c>
      <c r="B222" s="55">
        <f>SUM(B219:B221)</f>
        <v>71</v>
      </c>
      <c r="C222" s="54">
        <f>SUM(C219:C221)</f>
        <v>1</v>
      </c>
      <c r="D222" s="56">
        <f>SUM(D219:D221)</f>
        <v>6.4230142934684276</v>
      </c>
      <c r="E222" s="83"/>
      <c r="J222" s="123"/>
    </row>
    <row r="223" spans="1:13" customFormat="1" ht="15" customHeight="1" x14ac:dyDescent="0.3">
      <c r="A223" s="106"/>
      <c r="B223" s="106"/>
      <c r="C223" s="106"/>
      <c r="D223" s="106"/>
      <c r="E223" s="106"/>
      <c r="F223" s="106"/>
      <c r="G223" s="106"/>
      <c r="H223" s="106"/>
      <c r="J223" s="9"/>
    </row>
    <row r="224" spans="1:13" customFormat="1" ht="21" customHeight="1" x14ac:dyDescent="0.35">
      <c r="A224" s="342" t="s">
        <v>332</v>
      </c>
      <c r="B224" s="342"/>
      <c r="C224" s="342"/>
      <c r="D224" s="342"/>
      <c r="E224" s="342"/>
      <c r="F224" s="342"/>
      <c r="G224" s="342"/>
      <c r="H224" s="342"/>
    </row>
    <row r="225" spans="1:10" customFormat="1" ht="12" customHeight="1" x14ac:dyDescent="0.35">
      <c r="A225" s="119"/>
      <c r="B225" s="119"/>
      <c r="C225" s="119"/>
      <c r="D225" s="119"/>
      <c r="E225" s="119"/>
      <c r="F225" s="119"/>
      <c r="G225" s="119"/>
      <c r="H225" s="119"/>
    </row>
    <row r="226" spans="1:10" s="148" customFormat="1" ht="21" customHeight="1" x14ac:dyDescent="0.35">
      <c r="A226" s="361" t="s">
        <v>333</v>
      </c>
      <c r="B226" s="361"/>
      <c r="C226" s="361"/>
      <c r="D226" s="361"/>
      <c r="E226" s="361"/>
      <c r="F226" s="361"/>
      <c r="G226" s="361"/>
      <c r="H226" s="361"/>
      <c r="J226" s="211" t="s">
        <v>189</v>
      </c>
    </row>
    <row r="227" spans="1:10" customFormat="1" ht="21" customHeight="1" x14ac:dyDescent="0.25">
      <c r="A227" s="9" t="s">
        <v>334</v>
      </c>
    </row>
    <row r="228" spans="1:10" customFormat="1" ht="12" customHeight="1" x14ac:dyDescent="0.25">
      <c r="B228" s="136"/>
      <c r="C228" s="136"/>
      <c r="D228" s="136"/>
      <c r="E228" s="136"/>
      <c r="F228" s="136"/>
      <c r="G228" s="136"/>
      <c r="H228" s="136"/>
    </row>
    <row r="229" spans="1:10" customFormat="1" ht="21" customHeight="1" x14ac:dyDescent="0.3">
      <c r="A229" s="114" t="s">
        <v>335</v>
      </c>
      <c r="J229" s="115"/>
    </row>
    <row r="230" spans="1:10" customFormat="1" ht="21" customHeight="1" x14ac:dyDescent="0.25">
      <c r="A230" s="4" t="s">
        <v>336</v>
      </c>
      <c r="B230" s="5">
        <f>IF($C$9&gt;0,$C$9-3,"")</f>
        <v>2021</v>
      </c>
      <c r="C230" s="18">
        <f>IF($C$9&gt;0,$C$9-2,"")</f>
        <v>2022</v>
      </c>
      <c r="D230" s="18">
        <f>IF($C$9&gt;0,$C$9-1,"")</f>
        <v>2023</v>
      </c>
      <c r="E230" s="18">
        <f>IF($C$9&gt;0,$C$9,"")</f>
        <v>2024</v>
      </c>
      <c r="F230" s="18">
        <f>IF($C$9&gt;0,$C$9+1,"")</f>
        <v>2025</v>
      </c>
      <c r="G230" s="18">
        <f>IF($C$9&gt;0,$C$9+2,"")</f>
        <v>2026</v>
      </c>
      <c r="H230" s="18">
        <f>IF($C$9&gt;0,$C$9+3,"")</f>
        <v>2027</v>
      </c>
      <c r="J230" s="115" t="s">
        <v>337</v>
      </c>
    </row>
    <row r="231" spans="1:10" customFormat="1" ht="21" customHeight="1" x14ac:dyDescent="0.25">
      <c r="A231" s="7" t="s">
        <v>338</v>
      </c>
      <c r="B231" s="231">
        <f>IF(SourceData!B88&gt;0,SourceData!B88,"")</f>
        <v>6843</v>
      </c>
      <c r="C231" s="231">
        <f>IF(SourceData!C88&gt;0,SourceData!C88,"")</f>
        <v>6921</v>
      </c>
      <c r="D231" s="231">
        <f>IF(SourceData!D88&gt;0,SourceData!D88,"")</f>
        <v>7046</v>
      </c>
      <c r="E231" s="231">
        <f>IF(SourceData!E88&gt;0,SourceData!E88,"")</f>
        <v>7137</v>
      </c>
      <c r="F231" s="231">
        <f>IF(SourceData!F88&gt;0,SourceData!F88,"")</f>
        <v>7282</v>
      </c>
      <c r="G231" s="231">
        <f>IF(SourceData!G88&gt;0,SourceData!G88,"")</f>
        <v>7413</v>
      </c>
      <c r="H231" s="231">
        <f>IF(SourceData!H88&gt;0,SourceData!H88,"")</f>
        <v>7489</v>
      </c>
      <c r="J231" s="9" t="s">
        <v>339</v>
      </c>
    </row>
    <row r="232" spans="1:10" customFormat="1" ht="21" customHeight="1" x14ac:dyDescent="0.25">
      <c r="A232" s="96" t="s">
        <v>340</v>
      </c>
      <c r="B232" s="136"/>
      <c r="C232" s="232" t="str">
        <f>IF(SourceData!C89&gt;0,SourceData!C89/100,"")</f>
        <v/>
      </c>
      <c r="D232" s="232">
        <f>IF(SourceData!D89&gt;0,SourceData!D89/100,"")</f>
        <v>0.68</v>
      </c>
      <c r="E232" s="232" t="str">
        <f>IF(SourceData!E89&gt;0,SourceData!E89/100,"")</f>
        <v/>
      </c>
      <c r="F232" s="136"/>
      <c r="G232" s="136"/>
      <c r="H232" s="136"/>
      <c r="J232" s="9" t="s">
        <v>341</v>
      </c>
    </row>
    <row r="233" spans="1:10" customFormat="1" ht="12" customHeight="1" x14ac:dyDescent="0.25">
      <c r="B233" s="25"/>
      <c r="C233" s="25"/>
      <c r="D233" s="57"/>
      <c r="E233" s="137"/>
      <c r="F233" s="137"/>
      <c r="G233" s="137"/>
      <c r="J233" s="9"/>
    </row>
    <row r="234" spans="1:10" customFormat="1" ht="21" customHeight="1" x14ac:dyDescent="0.25">
      <c r="A234" s="4" t="s">
        <v>342</v>
      </c>
      <c r="B234" s="5" t="s">
        <v>343</v>
      </c>
      <c r="C234" s="58" t="s">
        <v>136</v>
      </c>
      <c r="D234" s="58" t="s">
        <v>344</v>
      </c>
    </row>
    <row r="235" spans="1:10" customFormat="1" ht="21" customHeight="1" x14ac:dyDescent="0.25">
      <c r="A235" s="7" t="s">
        <v>345</v>
      </c>
      <c r="B235" s="233"/>
      <c r="C235" s="234"/>
      <c r="D235" s="234"/>
      <c r="J235" s="9" t="s">
        <v>346</v>
      </c>
    </row>
    <row r="236" spans="1:10" customFormat="1" ht="12" customHeight="1" x14ac:dyDescent="0.25">
      <c r="A236" s="116"/>
    </row>
    <row r="237" spans="1:10" customFormat="1" ht="21" customHeight="1" x14ac:dyDescent="0.25">
      <c r="A237" s="116"/>
      <c r="E237" s="181" t="s">
        <v>347</v>
      </c>
      <c r="F237" s="182"/>
      <c r="G237" s="183"/>
      <c r="H237" s="73"/>
    </row>
    <row r="238" spans="1:10" customFormat="1" ht="42" customHeight="1" x14ac:dyDescent="0.25">
      <c r="A238" s="344" t="s">
        <v>348</v>
      </c>
      <c r="B238" s="344"/>
      <c r="E238" s="235">
        <f>IF(SourceData!B90&gt;0,SourceData!B90,"")</f>
        <v>2019</v>
      </c>
      <c r="F238" s="235">
        <f>IF(SourceData!C90&gt;0,SourceData!C90,"")</f>
        <v>2021</v>
      </c>
      <c r="G238" s="235">
        <f>IF(SourceData!D90&gt;0,SourceData!D90,"")</f>
        <v>2023</v>
      </c>
      <c r="H238" s="88" t="s">
        <v>349</v>
      </c>
      <c r="J238" s="115" t="s">
        <v>337</v>
      </c>
    </row>
    <row r="239" spans="1:10" customFormat="1" ht="21" customHeight="1" x14ac:dyDescent="0.25">
      <c r="A239" s="208" t="s">
        <v>175</v>
      </c>
      <c r="B239" s="350" t="s">
        <v>350</v>
      </c>
      <c r="C239" s="351"/>
      <c r="D239" s="352"/>
      <c r="E239" s="236">
        <f>IF(SourceData!B91&gt;0,SourceData!B91/100,"")</f>
        <v>0.26800000000000002</v>
      </c>
      <c r="F239" s="236">
        <f>IF(SourceData!C91&gt;0,SourceData!C91/100,"")</f>
        <v>0.11</v>
      </c>
      <c r="G239" s="236">
        <f>IF(SourceData!D91&gt;0,SourceData!D91/100,"")</f>
        <v>0.28800000000000003</v>
      </c>
      <c r="H239" s="236">
        <f>IF(SourceData!E91&gt;0,SourceData!E91/100,"")</f>
        <v>0.20300000000000001</v>
      </c>
      <c r="J239" s="9" t="s">
        <v>351</v>
      </c>
    </row>
    <row r="240" spans="1:10" customFormat="1" ht="21" customHeight="1" x14ac:dyDescent="0.25">
      <c r="A240" s="209" t="s">
        <v>175</v>
      </c>
      <c r="B240" s="350" t="s">
        <v>352</v>
      </c>
      <c r="C240" s="351"/>
      <c r="D240" s="352"/>
      <c r="E240" s="232">
        <f>IF(SourceData!B92&gt;0,SourceData!B92/100,"")</f>
        <v>0.51900000000000002</v>
      </c>
      <c r="F240" s="232">
        <f>IF(SourceData!C92&gt;0,SourceData!C92/100,"")</f>
        <v>0.53400000000000003</v>
      </c>
      <c r="G240" s="232">
        <f>IF(SourceData!D92&gt;0,SourceData!D92/100,"")</f>
        <v>0.43200000000000005</v>
      </c>
      <c r="H240" s="232">
        <f>IF(SourceData!E92&gt;0,SourceData!E92/100,"")</f>
        <v>0.501</v>
      </c>
      <c r="J240" s="9" t="s">
        <v>353</v>
      </c>
    </row>
    <row r="241" spans="1:10" customFormat="1" ht="21" customHeight="1" x14ac:dyDescent="0.25">
      <c r="A241" s="209" t="s">
        <v>354</v>
      </c>
      <c r="B241" s="350" t="s">
        <v>355</v>
      </c>
      <c r="C241" s="351"/>
      <c r="D241" s="352"/>
      <c r="E241" s="232" t="str">
        <f>IF(SourceData!B93&gt;0,SourceData!B93/100,"")</f>
        <v/>
      </c>
      <c r="F241" s="232">
        <f>IF(SourceData!C93&gt;0,SourceData!C93/100,"")</f>
        <v>0.113</v>
      </c>
      <c r="G241" s="232">
        <f>IF(SourceData!D93&gt;0,SourceData!D93/100,"")</f>
        <v>7.2000000000000008E-2</v>
      </c>
      <c r="H241" s="232">
        <f>IF(SourceData!E93&gt;0,SourceData!E93/100,"")</f>
        <v>0.06</v>
      </c>
      <c r="J241" s="9" t="s">
        <v>356</v>
      </c>
    </row>
    <row r="242" spans="1:10" customFormat="1" ht="21" customHeight="1" x14ac:dyDescent="0.25">
      <c r="A242" s="209" t="s">
        <v>357</v>
      </c>
      <c r="B242" s="350" t="s">
        <v>358</v>
      </c>
      <c r="C242" s="351"/>
      <c r="D242" s="352"/>
      <c r="E242" s="232">
        <f>IF(SourceData!B94&gt;0,SourceData!B94/100,"")</f>
        <v>0.04</v>
      </c>
      <c r="F242" s="232">
        <f>IF(SourceData!C94&gt;0,SourceData!C94/100,"")</f>
        <v>0.03</v>
      </c>
      <c r="G242" s="232">
        <f>IF(SourceData!D94&gt;0,SourceData!D94/100,"")</f>
        <v>0.05</v>
      </c>
      <c r="H242" s="232">
        <f>IF(SourceData!E94&gt;0,SourceData!E94/100,"")</f>
        <v>0.04</v>
      </c>
      <c r="J242" s="9" t="s">
        <v>359</v>
      </c>
    </row>
    <row r="243" spans="1:10" customFormat="1" ht="21" customHeight="1" x14ac:dyDescent="0.25">
      <c r="A243" s="209" t="s">
        <v>179</v>
      </c>
      <c r="B243" s="350" t="s">
        <v>360</v>
      </c>
      <c r="C243" s="351"/>
      <c r="D243" s="352"/>
      <c r="E243" s="237">
        <f>IF(SourceData!B95&gt;0,SourceData!B95/100,"")</f>
        <v>2.1000000000000001E-2</v>
      </c>
      <c r="F243" s="237">
        <f>IF(SourceData!C95&gt;0,SourceData!C95/100,"")</f>
        <v>1.3000000000000001E-2</v>
      </c>
      <c r="G243" s="237">
        <f>IF(SourceData!D95&gt;0,SourceData!D95/100,"")</f>
        <v>1.1000000000000001E-2</v>
      </c>
      <c r="H243" s="237">
        <f>IF(SourceData!E95&gt;0,SourceData!E95,"")</f>
        <v>1.6E-2</v>
      </c>
      <c r="J243" s="9" t="s">
        <v>361</v>
      </c>
    </row>
    <row r="244" spans="1:10" customFormat="1" ht="12" customHeight="1" x14ac:dyDescent="0.25">
      <c r="A244" s="116"/>
      <c r="J244" s="9"/>
    </row>
    <row r="245" spans="1:10" customFormat="1" ht="21" customHeight="1" x14ac:dyDescent="0.25">
      <c r="C245" s="110"/>
      <c r="D245" s="110"/>
      <c r="E245" s="110"/>
    </row>
    <row r="246" spans="1:10" customFormat="1" ht="21" customHeight="1" x14ac:dyDescent="0.3">
      <c r="A246" s="114" t="s">
        <v>362</v>
      </c>
    </row>
    <row r="247" spans="1:10" customFormat="1" ht="21" customHeight="1" x14ac:dyDescent="0.25">
      <c r="A247" s="9"/>
    </row>
    <row r="248" spans="1:10" customFormat="1" ht="30.75" customHeight="1" x14ac:dyDescent="0.25">
      <c r="A248" s="4" t="s">
        <v>363</v>
      </c>
      <c r="B248" s="5" t="s">
        <v>364</v>
      </c>
      <c r="C248" s="88" t="s">
        <v>365</v>
      </c>
    </row>
    <row r="249" spans="1:10" customFormat="1" ht="21" customHeight="1" x14ac:dyDescent="0.25">
      <c r="A249" s="7" t="s">
        <v>366</v>
      </c>
      <c r="B249" s="238"/>
      <c r="C249" s="239"/>
      <c r="J249" s="9" t="s">
        <v>367</v>
      </c>
    </row>
    <row r="250" spans="1:10" customFormat="1" ht="21" customHeight="1" x14ac:dyDescent="0.25">
      <c r="A250" s="7" t="s">
        <v>368</v>
      </c>
      <c r="B250" s="239"/>
      <c r="C250" s="239"/>
      <c r="D250" s="18">
        <f>IF($C$9&gt;0,$C$9-2,"")</f>
        <v>2022</v>
      </c>
      <c r="E250" s="18">
        <f>IF($C$9&gt;0,$C$9-1,"")</f>
        <v>2023</v>
      </c>
      <c r="F250" s="18">
        <f>IF($C$9&gt;0,$C$9,"")</f>
        <v>2024</v>
      </c>
      <c r="J250" s="9" t="s">
        <v>367</v>
      </c>
    </row>
    <row r="251" spans="1:10" customFormat="1" ht="21" customHeight="1" x14ac:dyDescent="0.25">
      <c r="A251" s="96" t="s">
        <v>369</v>
      </c>
      <c r="B251" s="353" t="s">
        <v>370</v>
      </c>
      <c r="C251" s="354"/>
      <c r="D251" s="240" t="s">
        <v>371</v>
      </c>
      <c r="E251" s="240" t="s">
        <v>371</v>
      </c>
      <c r="F251" s="240" t="s">
        <v>371</v>
      </c>
      <c r="J251" s="9" t="s">
        <v>372</v>
      </c>
    </row>
    <row r="252" spans="1:10" customFormat="1" ht="21" customHeight="1" x14ac:dyDescent="0.25">
      <c r="B252" s="109"/>
      <c r="C252" s="109"/>
    </row>
    <row r="253" spans="1:10" customFormat="1" ht="21" customHeight="1" x14ac:dyDescent="0.25">
      <c r="A253" s="6" t="s">
        <v>373</v>
      </c>
      <c r="B253" s="355" t="s">
        <v>1335</v>
      </c>
      <c r="C253" s="355"/>
      <c r="D253" s="355"/>
      <c r="E253" s="355"/>
      <c r="F253" s="355"/>
      <c r="G253" s="355"/>
      <c r="H253" s="355"/>
    </row>
    <row r="254" spans="1:10" customFormat="1" ht="21" customHeight="1" x14ac:dyDescent="0.25">
      <c r="A254" s="112" t="s">
        <v>204</v>
      </c>
      <c r="B254" s="104"/>
      <c r="C254" s="104"/>
      <c r="D254" s="104"/>
    </row>
    <row r="255" spans="1:10" customFormat="1" ht="21" customHeight="1" x14ac:dyDescent="0.25">
      <c r="A255" s="356"/>
      <c r="B255" s="356"/>
      <c r="C255" s="356"/>
      <c r="D255" s="356"/>
      <c r="E255" s="356"/>
      <c r="F255" s="356"/>
      <c r="G255" s="356"/>
      <c r="H255" s="356"/>
    </row>
    <row r="256" spans="1:10" customFormat="1" ht="21" customHeight="1" x14ac:dyDescent="0.25">
      <c r="A256" s="341"/>
      <c r="B256" s="334"/>
      <c r="C256" s="334"/>
      <c r="D256" s="334"/>
      <c r="E256" s="334"/>
      <c r="F256" s="334"/>
      <c r="G256" s="334"/>
      <c r="H256" s="334"/>
    </row>
    <row r="257" spans="1:10" customFormat="1" ht="21" customHeight="1" x14ac:dyDescent="0.25">
      <c r="A257" s="341"/>
      <c r="B257" s="334"/>
      <c r="C257" s="334"/>
      <c r="D257" s="334"/>
      <c r="E257" s="334"/>
      <c r="F257" s="334"/>
      <c r="G257" s="334"/>
      <c r="H257" s="334"/>
    </row>
    <row r="258" spans="1:10" customFormat="1" ht="21" customHeight="1" x14ac:dyDescent="0.25">
      <c r="A258" s="341"/>
      <c r="B258" s="334"/>
      <c r="C258" s="334"/>
      <c r="D258" s="334"/>
      <c r="E258" s="334"/>
      <c r="F258" s="334"/>
      <c r="G258" s="334"/>
      <c r="H258" s="334"/>
    </row>
    <row r="259" spans="1:10" customFormat="1" ht="21" customHeight="1" x14ac:dyDescent="0.25">
      <c r="B259" s="138"/>
    </row>
    <row r="260" spans="1:10" s="148" customFormat="1" ht="21" customHeight="1" x14ac:dyDescent="0.35">
      <c r="A260" s="8" t="s">
        <v>374</v>
      </c>
      <c r="J260" s="139"/>
    </row>
    <row r="261" spans="1:10" customFormat="1" ht="36" customHeight="1" x14ac:dyDescent="0.25">
      <c r="A261" s="4"/>
      <c r="B261" s="5" t="s">
        <v>364</v>
      </c>
      <c r="C261" s="88" t="s">
        <v>365</v>
      </c>
    </row>
    <row r="262" spans="1:10" customFormat="1" ht="21" customHeight="1" x14ac:dyDescent="0.25">
      <c r="A262" s="7" t="s">
        <v>375</v>
      </c>
      <c r="B262" s="241"/>
      <c r="C262" s="203"/>
      <c r="D262" s="6"/>
      <c r="J262" s="9" t="s">
        <v>376</v>
      </c>
    </row>
    <row r="263" spans="1:10" customFormat="1" ht="21" customHeight="1" x14ac:dyDescent="0.25">
      <c r="A263" s="116" t="s">
        <v>377</v>
      </c>
    </row>
    <row r="264" spans="1:10" customFormat="1" ht="21" customHeight="1" x14ac:dyDescent="0.25">
      <c r="A264" s="341" t="s">
        <v>1336</v>
      </c>
      <c r="B264" s="334"/>
      <c r="C264" s="334"/>
      <c r="D264" s="334"/>
      <c r="E264" s="334"/>
      <c r="F264" s="334"/>
      <c r="G264" s="334"/>
      <c r="H264" s="334"/>
    </row>
    <row r="265" spans="1:10" customFormat="1" ht="21" customHeight="1" x14ac:dyDescent="0.25">
      <c r="A265" s="341"/>
      <c r="B265" s="334"/>
      <c r="C265" s="334"/>
      <c r="D265" s="334"/>
      <c r="E265" s="334"/>
      <c r="F265" s="334"/>
      <c r="G265" s="334"/>
      <c r="H265" s="334"/>
    </row>
    <row r="266" spans="1:10" customFormat="1" ht="21" customHeight="1" x14ac:dyDescent="0.25"/>
    <row r="267" spans="1:10" customFormat="1" ht="21" customHeight="1" x14ac:dyDescent="0.35">
      <c r="A267" s="342" t="s">
        <v>378</v>
      </c>
      <c r="B267" s="342"/>
      <c r="C267" s="342"/>
      <c r="D267" s="342"/>
      <c r="E267" s="342"/>
      <c r="F267" s="342"/>
      <c r="G267" s="342"/>
      <c r="H267" s="342"/>
    </row>
    <row r="268" spans="1:10" customFormat="1" ht="18" customHeight="1" x14ac:dyDescent="0.25">
      <c r="B268" s="109"/>
      <c r="C268" s="109"/>
      <c r="D268" s="109"/>
    </row>
    <row r="269" spans="1:10" customFormat="1" ht="21" customHeight="1" x14ac:dyDescent="0.25">
      <c r="A269" s="6"/>
    </row>
    <row r="270" spans="1:10" s="148" customFormat="1" ht="21" customHeight="1" x14ac:dyDescent="0.35">
      <c r="A270" s="8" t="s">
        <v>379</v>
      </c>
      <c r="J270" s="139"/>
    </row>
    <row r="271" spans="1:10" customFormat="1" ht="21" customHeight="1" x14ac:dyDescent="0.35">
      <c r="A271" s="6" t="s">
        <v>380</v>
      </c>
      <c r="J271" s="139"/>
    </row>
    <row r="272" spans="1:10" customFormat="1" ht="21" customHeight="1" x14ac:dyDescent="0.25">
      <c r="A272" s="4" t="s">
        <v>192</v>
      </c>
      <c r="B272" s="5">
        <f>IF($C$9&gt;0,$C$9-3,"")</f>
        <v>2021</v>
      </c>
      <c r="C272" s="18">
        <f>IF($C$9&gt;0,$C$9-2,"")</f>
        <v>2022</v>
      </c>
      <c r="D272" s="18">
        <f>IF($C$9&gt;0,$C$9-1,"")</f>
        <v>2023</v>
      </c>
    </row>
    <row r="273" spans="1:10" customFormat="1" ht="21" customHeight="1" x14ac:dyDescent="0.25">
      <c r="A273" s="7" t="s">
        <v>381</v>
      </c>
      <c r="B273" s="242">
        <v>1</v>
      </c>
      <c r="C273" s="212"/>
      <c r="D273" s="212"/>
      <c r="E273" s="140">
        <f t="shared" ref="E273:E278" si="2">IF((SUM(B273:D273)&gt;0),AVERAGE(B273:D273),"")</f>
        <v>1</v>
      </c>
      <c r="J273" s="9" t="s">
        <v>382</v>
      </c>
    </row>
    <row r="274" spans="1:10" customFormat="1" ht="21" customHeight="1" x14ac:dyDescent="0.25">
      <c r="A274" s="7" t="s">
        <v>383</v>
      </c>
      <c r="B274" s="216"/>
      <c r="C274" s="204"/>
      <c r="D274" s="204"/>
      <c r="E274" s="140" t="str">
        <f t="shared" si="2"/>
        <v/>
      </c>
      <c r="J274" s="9" t="s">
        <v>384</v>
      </c>
    </row>
    <row r="275" spans="1:10" customFormat="1" ht="21" customHeight="1" x14ac:dyDescent="0.25">
      <c r="A275" s="7" t="s">
        <v>385</v>
      </c>
      <c r="B275" s="216"/>
      <c r="C275" s="204"/>
      <c r="D275" s="204"/>
      <c r="E275" s="140" t="str">
        <f t="shared" si="2"/>
        <v/>
      </c>
      <c r="J275" s="9" t="s">
        <v>384</v>
      </c>
    </row>
    <row r="276" spans="1:10" customFormat="1" ht="21" customHeight="1" x14ac:dyDescent="0.25">
      <c r="A276" s="7" t="s">
        <v>386</v>
      </c>
      <c r="B276" s="216"/>
      <c r="C276" s="204"/>
      <c r="D276" s="204"/>
      <c r="E276" s="140" t="str">
        <f t="shared" si="2"/>
        <v/>
      </c>
      <c r="J276" s="9" t="s">
        <v>384</v>
      </c>
    </row>
    <row r="277" spans="1:10" customFormat="1" ht="21" customHeight="1" x14ac:dyDescent="0.25">
      <c r="A277" s="7" t="s">
        <v>387</v>
      </c>
      <c r="B277" s="216"/>
      <c r="C277" s="204"/>
      <c r="D277" s="204"/>
      <c r="E277" s="140" t="str">
        <f t="shared" si="2"/>
        <v/>
      </c>
      <c r="J277" s="9"/>
    </row>
    <row r="278" spans="1:10" customFormat="1" ht="21" customHeight="1" x14ac:dyDescent="0.25">
      <c r="A278" s="7" t="s">
        <v>388</v>
      </c>
      <c r="B278" s="34" t="str">
        <f>IF(B274+B275+B276+B277&gt;0,SUM(B274:B277),"")</f>
        <v/>
      </c>
      <c r="C278" s="34" t="str">
        <f>IF(C274+C275+C276+C277&gt;0,SUM(C274:C277),"")</f>
        <v/>
      </c>
      <c r="D278" s="34" t="str">
        <f>IF(D274+D275+D276+D277&gt;0,SUM(D274:D277),"")</f>
        <v/>
      </c>
      <c r="E278" s="140" t="str">
        <f t="shared" si="2"/>
        <v/>
      </c>
      <c r="J278" s="9" t="s">
        <v>389</v>
      </c>
    </row>
    <row r="279" spans="1:10" s="148" customFormat="1" ht="21" customHeight="1" x14ac:dyDescent="0.35">
      <c r="A279" s="8" t="s">
        <v>390</v>
      </c>
      <c r="B279" s="141"/>
      <c r="C279" s="141"/>
      <c r="D279" s="141"/>
      <c r="J279" s="139"/>
    </row>
    <row r="280" spans="1:10" customFormat="1" ht="21" customHeight="1" x14ac:dyDescent="0.25">
      <c r="A280" s="4" t="s">
        <v>192</v>
      </c>
      <c r="B280" s="5">
        <f>IF($C$9&gt;0,$C$9-3,"")</f>
        <v>2021</v>
      </c>
      <c r="C280" s="18">
        <f>IF($C$9&gt;0,$C$9-2,"")</f>
        <v>2022</v>
      </c>
      <c r="D280" s="18">
        <f>IF($C$9&gt;0,$C$9-1,"")</f>
        <v>2023</v>
      </c>
    </row>
    <row r="281" spans="1:10" customFormat="1" ht="21" customHeight="1" x14ac:dyDescent="0.25">
      <c r="A281" s="7" t="s">
        <v>147</v>
      </c>
      <c r="B281" s="216"/>
      <c r="C281" s="204">
        <v>1</v>
      </c>
      <c r="D281" s="204">
        <v>3</v>
      </c>
      <c r="E281" s="140">
        <f>IF((SUM(B281:D281)&gt;0),AVERAGE(B281:D281),"")</f>
        <v>2</v>
      </c>
      <c r="J281" s="9" t="s">
        <v>391</v>
      </c>
    </row>
    <row r="282" spans="1:10" customFormat="1" ht="21" customHeight="1" x14ac:dyDescent="0.25">
      <c r="A282" s="7" t="s">
        <v>149</v>
      </c>
      <c r="B282" s="216">
        <v>1</v>
      </c>
      <c r="C282" s="204">
        <v>1</v>
      </c>
      <c r="D282" s="204"/>
      <c r="E282" s="140">
        <f>IF((SUM(B282:D282)&gt;0),AVERAGE(B282:D282),"")</f>
        <v>1</v>
      </c>
      <c r="J282" s="9" t="s">
        <v>391</v>
      </c>
    </row>
    <row r="283" spans="1:10" customFormat="1" ht="21" customHeight="1" x14ac:dyDescent="0.25">
      <c r="A283" s="7" t="s">
        <v>151</v>
      </c>
      <c r="B283" s="216">
        <v>1</v>
      </c>
      <c r="C283" s="204"/>
      <c r="D283" s="204"/>
      <c r="E283" s="140">
        <f>IF((SUM(B283:D283)&gt;0),AVERAGE(B283:D283),"")</f>
        <v>1</v>
      </c>
      <c r="J283" s="9" t="s">
        <v>391</v>
      </c>
    </row>
    <row r="284" spans="1:10" customFormat="1" ht="21" customHeight="1" x14ac:dyDescent="0.25">
      <c r="A284" s="7" t="s">
        <v>392</v>
      </c>
      <c r="B284" s="216"/>
      <c r="C284" s="204"/>
      <c r="D284" s="204"/>
      <c r="E284" s="140" t="str">
        <f>IF((SUM(B284:D284)&gt;0),AVERAGE(B284:D284),"")</f>
        <v/>
      </c>
      <c r="J284" s="9"/>
    </row>
    <row r="285" spans="1:10" customFormat="1" ht="21" customHeight="1" x14ac:dyDescent="0.25">
      <c r="A285" s="7" t="s">
        <v>285</v>
      </c>
      <c r="B285" s="34">
        <f>IF(B281+B282+B283+B284&gt;0,SUM(B281:B284),"")</f>
        <v>2</v>
      </c>
      <c r="C285" s="34">
        <f>IF(C281+C282+C283+C284&gt;0,SUM(C281:C284),"")</f>
        <v>2</v>
      </c>
      <c r="D285" s="34">
        <f>IF(D281+D282+D283+D284&gt;0,SUM(D281:D284),"")</f>
        <v>3</v>
      </c>
      <c r="E285" s="140">
        <f>IF((SUM(B285:D285)&gt;0),AVERAGE(B285:D285),"")</f>
        <v>2.3333333333333335</v>
      </c>
      <c r="J285" s="9" t="s">
        <v>393</v>
      </c>
    </row>
    <row r="286" spans="1:10" customFormat="1" ht="21" customHeight="1" x14ac:dyDescent="0.25">
      <c r="B286" s="110"/>
      <c r="C286" s="110"/>
      <c r="D286" s="110"/>
    </row>
    <row r="287" spans="1:10" s="148" customFormat="1" ht="21" customHeight="1" x14ac:dyDescent="0.35">
      <c r="A287" s="8" t="s">
        <v>394</v>
      </c>
      <c r="J287" s="139"/>
    </row>
    <row r="288" spans="1:10" customFormat="1" ht="21" customHeight="1" x14ac:dyDescent="0.25">
      <c r="A288" s="6" t="s">
        <v>395</v>
      </c>
    </row>
    <row r="289" spans="1:10" customFormat="1" ht="45" customHeight="1" x14ac:dyDescent="0.25">
      <c r="A289" s="20" t="s">
        <v>396</v>
      </c>
      <c r="B289" s="20" t="s">
        <v>397</v>
      </c>
      <c r="C289" s="20" t="s">
        <v>398</v>
      </c>
      <c r="D289" s="59" t="s">
        <v>399</v>
      </c>
      <c r="E289" s="59" t="s">
        <v>400</v>
      </c>
      <c r="F289" s="20" t="s">
        <v>401</v>
      </c>
      <c r="G289" s="59" t="s">
        <v>402</v>
      </c>
      <c r="H289" s="107"/>
      <c r="J289" t="s">
        <v>403</v>
      </c>
    </row>
    <row r="290" spans="1:10" customFormat="1" ht="21" customHeight="1" x14ac:dyDescent="0.25">
      <c r="A290" s="243"/>
      <c r="B290" s="210"/>
      <c r="C290" s="204"/>
      <c r="D290" s="60" t="str">
        <f>IF(C290&gt;0,(B290*C290*0.18),"")</f>
        <v/>
      </c>
      <c r="E290" s="22" t="str">
        <f>IF(B290&gt;0,(B290*C290*0.82),"")</f>
        <v/>
      </c>
      <c r="F290" s="22" t="str">
        <f>IF(B290&gt;0,(B290*C290),"")</f>
        <v/>
      </c>
      <c r="G290" s="26" t="str">
        <f>IF(B290&gt;0,(F290/C12*1000),"")</f>
        <v/>
      </c>
      <c r="J290" s="9" t="s">
        <v>404</v>
      </c>
    </row>
    <row r="291" spans="1:10" customFormat="1" ht="21" customHeight="1" x14ac:dyDescent="0.25">
      <c r="A291" s="243"/>
      <c r="B291" s="210"/>
      <c r="C291" s="204"/>
      <c r="D291" s="60" t="str">
        <f>IF(C291&gt;0,(B291*C291*0.18),"")</f>
        <v/>
      </c>
      <c r="E291" s="22" t="str">
        <f>IF(B291&gt;0,(B291*C291*0.82),"")</f>
        <v/>
      </c>
      <c r="F291" s="22" t="str">
        <f>IF(B291&gt;0,(B291*C291),"")</f>
        <v/>
      </c>
      <c r="G291" s="26" t="str">
        <f>IF(B291&gt;0,(F291/C12*1000),"")</f>
        <v/>
      </c>
      <c r="J291" s="9" t="s">
        <v>404</v>
      </c>
    </row>
    <row r="292" spans="1:10" customFormat="1" ht="21" customHeight="1" x14ac:dyDescent="0.25">
      <c r="A292" s="243"/>
      <c r="B292" s="210"/>
      <c r="C292" s="204"/>
      <c r="D292" s="60" t="str">
        <f>IF(C292&gt;0,(B292*C292*0.18),"")</f>
        <v/>
      </c>
      <c r="E292" s="22" t="str">
        <f>IF(B292&gt;0,(B292*C292*0.82),"")</f>
        <v/>
      </c>
      <c r="F292" s="22" t="str">
        <f>IF(B292&gt;0,(B292*C292),"")</f>
        <v/>
      </c>
      <c r="G292" s="26" t="str">
        <f>IF(B292&gt;0,(F292/C12*1000),"")</f>
        <v/>
      </c>
      <c r="J292" s="9" t="s">
        <v>404</v>
      </c>
    </row>
    <row r="293" spans="1:10" customFormat="1" ht="21" customHeight="1" x14ac:dyDescent="0.25">
      <c r="A293" s="243"/>
      <c r="B293" s="210"/>
      <c r="C293" s="204"/>
      <c r="D293" s="60" t="str">
        <f>IF(C293&gt;0,(B293*C293*0.18),"")</f>
        <v/>
      </c>
      <c r="E293" s="22" t="str">
        <f>IF(B293&gt;0,(B293*C293*0.82),"")</f>
        <v/>
      </c>
      <c r="F293" s="22" t="str">
        <f>IF(B293&gt;0,(B293*C293),"")</f>
        <v/>
      </c>
      <c r="G293" s="26" t="str">
        <f>IF(B293&gt;0,(F293/C12*1000),"")</f>
        <v/>
      </c>
      <c r="J293" s="9" t="s">
        <v>404</v>
      </c>
    </row>
    <row r="294" spans="1:10" customFormat="1" ht="21" customHeight="1" x14ac:dyDescent="0.25">
      <c r="A294" s="243"/>
      <c r="B294" s="210"/>
      <c r="C294" s="204"/>
      <c r="D294" s="60" t="str">
        <f>IF(C294&gt;0,(B294*C294*0.18),"")</f>
        <v/>
      </c>
      <c r="E294" s="22" t="str">
        <f>IF(B294&gt;0,(B294*C294*0.82),"")</f>
        <v/>
      </c>
      <c r="F294" s="22" t="str">
        <f>IF(B294&gt;0,(B294*C294),"")</f>
        <v/>
      </c>
      <c r="G294" s="26" t="str">
        <f>IF(B294&gt;0,(F294/C12*1000),"")</f>
        <v/>
      </c>
      <c r="J294" s="9" t="s">
        <v>404</v>
      </c>
    </row>
    <row r="295" spans="1:10" customFormat="1" ht="21" customHeight="1" x14ac:dyDescent="0.25">
      <c r="A295" s="61"/>
      <c r="B295" s="62"/>
      <c r="C295" s="35" t="s">
        <v>405</v>
      </c>
      <c r="D295" s="22" t="str">
        <f>IF(B290+B291+B292+B293+B294&gt;0,SUM(D290:D294),"")</f>
        <v/>
      </c>
      <c r="E295" s="22" t="str">
        <f>IF(B290+B291+B292+B293+B294&gt;0,SUM(E290:E294),"")</f>
        <v/>
      </c>
      <c r="F295" s="22" t="str">
        <f>IF(B290+B291+B292+B293+B294&gt;0,SUM(F290:F294),"")</f>
        <v/>
      </c>
      <c r="G295" s="26" t="str">
        <f>IF(B290+B291+B292+B293+B294&gt;0,SUM(G290:G294),"")</f>
        <v/>
      </c>
      <c r="J295" s="9" t="s">
        <v>406</v>
      </c>
    </row>
    <row r="296" spans="1:10" customFormat="1" ht="21" customHeight="1" x14ac:dyDescent="0.25">
      <c r="C296" s="109"/>
      <c r="D296" s="142"/>
    </row>
    <row r="297" spans="1:10" customFormat="1" ht="45" customHeight="1" x14ac:dyDescent="0.25">
      <c r="A297" s="20" t="s">
        <v>407</v>
      </c>
      <c r="B297" s="20" t="s">
        <v>408</v>
      </c>
      <c r="C297" s="20" t="s">
        <v>409</v>
      </c>
      <c r="D297" s="59" t="s">
        <v>399</v>
      </c>
      <c r="E297" s="59" t="s">
        <v>400</v>
      </c>
      <c r="F297" s="20" t="s">
        <v>410</v>
      </c>
      <c r="G297" s="59" t="s">
        <v>402</v>
      </c>
    </row>
    <row r="298" spans="1:10" customFormat="1" ht="21" customHeight="1" x14ac:dyDescent="0.25">
      <c r="A298" s="225"/>
      <c r="B298" s="22" t="str">
        <f>IF(A298&gt;0,(A298*C12/100000),"")</f>
        <v/>
      </c>
      <c r="C298" s="244"/>
      <c r="D298" s="22" t="str">
        <f>IF(C298&gt;0,(0.07*F298),"")</f>
        <v/>
      </c>
      <c r="E298" s="22" t="str">
        <f>IF(C298&gt;0,(F298*0.93),"")</f>
        <v/>
      </c>
      <c r="F298" s="22" t="str">
        <f>IF(C298&gt;0,(A298*(C12/100000)*0.5*C298),"")</f>
        <v/>
      </c>
      <c r="G298" s="26" t="str">
        <f>IF(C298&gt;0,F298/C12*1000,"")</f>
        <v/>
      </c>
      <c r="J298" s="9" t="s">
        <v>411</v>
      </c>
    </row>
    <row r="299" spans="1:10" customFormat="1" ht="21" customHeight="1" x14ac:dyDescent="0.25">
      <c r="C299" s="109"/>
      <c r="D299" s="142"/>
    </row>
    <row r="300" spans="1:10" customFormat="1" ht="21" customHeight="1" x14ac:dyDescent="0.25">
      <c r="C300" s="21" t="s">
        <v>412</v>
      </c>
      <c r="D300" s="22" t="str">
        <f>IF(C290+C291+C292+C293+C294+C298&gt;0,SUM(D295:D298),"")</f>
        <v/>
      </c>
      <c r="E300" s="22" t="str">
        <f>IF(C290+C291+C292+C293+C294+C298&gt;0,SUM(E295:E298),"")</f>
        <v/>
      </c>
      <c r="F300" s="22" t="str">
        <f>IF(C290+C291+C292+C293+C294+C298&gt;0,SUM(F295:F298),"")</f>
        <v/>
      </c>
      <c r="G300" s="26" t="str">
        <f>IF(C290+C291+C292+C293+C294+C298&gt;0,SUM(G295:G298),"")</f>
        <v/>
      </c>
      <c r="J300" s="9" t="s">
        <v>413</v>
      </c>
    </row>
    <row r="301" spans="1:10" customFormat="1" ht="21" customHeight="1" x14ac:dyDescent="0.25">
      <c r="A301" s="6" t="s">
        <v>414</v>
      </c>
      <c r="C301" s="109"/>
      <c r="D301" s="142"/>
      <c r="J301" s="9"/>
    </row>
    <row r="302" spans="1:10" customFormat="1" ht="21" customHeight="1" x14ac:dyDescent="0.25">
      <c r="A302" s="6" t="s">
        <v>415</v>
      </c>
      <c r="C302" s="109"/>
      <c r="D302" s="142"/>
      <c r="J302" t="s">
        <v>416</v>
      </c>
    </row>
    <row r="303" spans="1:10" customFormat="1" ht="21" customHeight="1" x14ac:dyDescent="0.25">
      <c r="A303" s="6" t="s">
        <v>417</v>
      </c>
    </row>
    <row r="304" spans="1:10" customFormat="1" ht="21" customHeight="1" x14ac:dyDescent="0.25">
      <c r="A304" s="6" t="s">
        <v>418</v>
      </c>
    </row>
    <row r="305" spans="1:10" customFormat="1" ht="21" customHeight="1" x14ac:dyDescent="0.25">
      <c r="A305" s="6"/>
    </row>
    <row r="306" spans="1:10" customFormat="1" ht="21" customHeight="1" x14ac:dyDescent="0.25">
      <c r="A306" s="6"/>
    </row>
    <row r="307" spans="1:10" customFormat="1" ht="21" customHeight="1" x14ac:dyDescent="0.35">
      <c r="A307" s="343" t="s">
        <v>419</v>
      </c>
      <c r="B307" s="343"/>
      <c r="C307" s="343"/>
      <c r="D307" s="343"/>
      <c r="E307" s="343"/>
      <c r="F307" s="343"/>
      <c r="G307" s="343"/>
      <c r="H307" s="343"/>
    </row>
    <row r="308" spans="1:10" customFormat="1" ht="21" customHeight="1" x14ac:dyDescent="0.25">
      <c r="A308" s="6"/>
    </row>
    <row r="309" spans="1:10" customFormat="1" ht="21" customHeight="1" x14ac:dyDescent="0.25">
      <c r="A309" s="344"/>
      <c r="B309" s="345"/>
      <c r="C309" s="23" t="s">
        <v>420</v>
      </c>
      <c r="D309" s="3" t="s">
        <v>421</v>
      </c>
      <c r="E309" s="3" t="s">
        <v>422</v>
      </c>
      <c r="F309" s="346" t="s">
        <v>423</v>
      </c>
      <c r="G309" s="346"/>
      <c r="H309" s="346"/>
      <c r="J309" s="143" t="s">
        <v>424</v>
      </c>
    </row>
    <row r="310" spans="1:10" customFormat="1" ht="21" customHeight="1" x14ac:dyDescent="0.25">
      <c r="A310" s="338" t="s">
        <v>425</v>
      </c>
      <c r="B310" s="339"/>
      <c r="C310" s="29" t="str">
        <f>IF(B61&gt;0, B61, "")</f>
        <v>7.6</v>
      </c>
      <c r="D310" s="31">
        <f>IF(F180&gt;0, F180, "")</f>
        <v>5.8</v>
      </c>
      <c r="E310" s="2"/>
      <c r="F310" s="340"/>
      <c r="G310" s="340"/>
      <c r="H310" s="340"/>
      <c r="J310" s="9" t="s">
        <v>426</v>
      </c>
    </row>
    <row r="311" spans="1:10" customFormat="1" ht="21" customHeight="1" x14ac:dyDescent="0.25">
      <c r="A311" s="338" t="s">
        <v>427</v>
      </c>
      <c r="B311" s="339"/>
      <c r="C311" s="30" t="e">
        <f>IF(B61&gt;0, C310*C12/1000, "")</f>
        <v>#VALUE!</v>
      </c>
      <c r="D311" s="30">
        <f>IF(F180&gt;0, D310*C12/1000, "")</f>
        <v>64.113199999999992</v>
      </c>
      <c r="E311" s="1"/>
      <c r="F311" s="347"/>
      <c r="G311" s="348"/>
      <c r="H311" s="349"/>
      <c r="J311" s="9" t="s">
        <v>428</v>
      </c>
    </row>
    <row r="312" spans="1:10" customFormat="1" ht="21" customHeight="1" x14ac:dyDescent="0.25">
      <c r="A312" s="338" t="s">
        <v>429</v>
      </c>
      <c r="B312" s="339"/>
      <c r="C312" s="35">
        <f>IF(B64&gt;0, B64, "")</f>
        <v>0.4</v>
      </c>
      <c r="D312" s="35">
        <f>IF(C106+D106+E106&gt;0, AVERAGE(C106:E106), "")</f>
        <v>0.40666666666666668</v>
      </c>
      <c r="E312" s="2"/>
      <c r="F312" s="340"/>
      <c r="G312" s="340"/>
      <c r="H312" s="340"/>
      <c r="J312" s="9" t="s">
        <v>430</v>
      </c>
    </row>
    <row r="313" spans="1:10" customFormat="1" ht="21" customHeight="1" x14ac:dyDescent="0.25">
      <c r="A313" s="338" t="s">
        <v>431</v>
      </c>
      <c r="B313" s="339"/>
      <c r="C313" s="51">
        <f>IF(B65&gt;0, B65, "")</f>
        <v>0.55000000000000004</v>
      </c>
      <c r="D313" s="63">
        <f>IF(C105+D105+E105&gt;0, AVERAGE(C105:E105), "")</f>
        <v>0.54799999999999993</v>
      </c>
      <c r="E313" s="2"/>
      <c r="F313" s="340"/>
      <c r="G313" s="340"/>
      <c r="H313" s="340"/>
      <c r="J313" s="9" t="s">
        <v>430</v>
      </c>
    </row>
    <row r="314" spans="1:10" customFormat="1" ht="21" customHeight="1" x14ac:dyDescent="0.25">
      <c r="A314" s="338" t="s">
        <v>432</v>
      </c>
      <c r="B314" s="339"/>
      <c r="C314" s="35">
        <f>IF(B66&gt;0, B66, "")</f>
        <v>0.7</v>
      </c>
      <c r="D314" s="35">
        <f>IF(B88+C88+D88&gt;0, AVERAGE(B95:D95), "")</f>
        <v>0.44691480562448299</v>
      </c>
      <c r="E314" s="2"/>
      <c r="F314" s="340"/>
      <c r="G314" s="340"/>
      <c r="H314" s="340"/>
      <c r="J314" s="9" t="s">
        <v>430</v>
      </c>
    </row>
    <row r="315" spans="1:10" customFormat="1" ht="21" customHeight="1" x14ac:dyDescent="0.25">
      <c r="A315" s="338" t="s">
        <v>170</v>
      </c>
      <c r="B315" s="339"/>
      <c r="C315" s="34">
        <f>IF(B67&gt;0, B67, "")</f>
        <v>60</v>
      </c>
      <c r="D315" s="22">
        <f>IF(D133+E133+F133&gt;0,AVERAGE(D133:F133), "")</f>
        <v>51.666666666666664</v>
      </c>
      <c r="E315" s="2"/>
      <c r="F315" s="340"/>
      <c r="G315" s="340"/>
      <c r="H315" s="340"/>
      <c r="J315" s="9" t="s">
        <v>430</v>
      </c>
    </row>
    <row r="316" spans="1:10" customFormat="1" ht="21" customHeight="1" x14ac:dyDescent="0.25">
      <c r="A316" s="338" t="s">
        <v>433</v>
      </c>
      <c r="B316" s="339"/>
      <c r="C316" s="35">
        <f>IF(F74&gt;0,F74, "")</f>
        <v>0.15</v>
      </c>
      <c r="D316" s="186">
        <f>IF(SUM(H239)&gt;0, SUM(H239), "")</f>
        <v>0.20300000000000001</v>
      </c>
      <c r="E316" s="2"/>
      <c r="F316" s="340"/>
      <c r="G316" s="340"/>
      <c r="H316" s="340"/>
      <c r="J316" s="9" t="s">
        <v>434</v>
      </c>
    </row>
    <row r="317" spans="1:10" customFormat="1" ht="21" customHeight="1" x14ac:dyDescent="0.25">
      <c r="A317" s="338" t="str">
        <f>B242</f>
        <v>Andel ytor med gynnsam konkurrensstatus</v>
      </c>
      <c r="B317" s="339"/>
      <c r="C317" s="245"/>
      <c r="D317" s="35">
        <f>IF(SUM(H242)&gt;0,SUM(H242),"")</f>
        <v>0.04</v>
      </c>
      <c r="E317" s="2"/>
      <c r="F317" s="340"/>
      <c r="G317" s="340"/>
      <c r="H317" s="340"/>
      <c r="J317" s="9" t="s">
        <v>435</v>
      </c>
    </row>
    <row r="318" spans="1:10" customFormat="1" ht="21" customHeight="1" x14ac:dyDescent="0.25">
      <c r="A318" s="338" t="s">
        <v>436</v>
      </c>
      <c r="B318" s="339"/>
      <c r="C318" s="245"/>
      <c r="D318" s="246"/>
      <c r="E318" s="2"/>
      <c r="F318" s="340"/>
      <c r="G318" s="340"/>
      <c r="H318" s="340"/>
      <c r="J318" s="9" t="s">
        <v>437</v>
      </c>
    </row>
    <row r="319" spans="1:10" customFormat="1" ht="21" customHeight="1" x14ac:dyDescent="0.25">
      <c r="A319" s="338" t="s">
        <v>438</v>
      </c>
      <c r="B319" s="339"/>
      <c r="C319" s="245"/>
      <c r="D319" s="32" t="str">
        <f>IF(D273&gt;0, D273, "")</f>
        <v/>
      </c>
      <c r="E319" s="2"/>
      <c r="F319" s="340"/>
      <c r="G319" s="340"/>
      <c r="H319" s="340"/>
      <c r="J319" s="9" t="s">
        <v>439</v>
      </c>
    </row>
    <row r="320" spans="1:10" customFormat="1" ht="21" customHeight="1" x14ac:dyDescent="0.25">
      <c r="A320" s="338" t="s">
        <v>440</v>
      </c>
      <c r="B320" s="339"/>
      <c r="C320" s="245"/>
      <c r="D320" s="32">
        <f>IF(D285&gt;0, D285, "")</f>
        <v>3</v>
      </c>
      <c r="E320" s="2"/>
      <c r="F320" s="340"/>
      <c r="G320" s="340"/>
      <c r="H320" s="340"/>
      <c r="J320" s="9" t="s">
        <v>439</v>
      </c>
    </row>
    <row r="321" spans="1:10" customFormat="1" ht="21" customHeight="1" x14ac:dyDescent="0.25">
      <c r="A321" s="338" t="s">
        <v>441</v>
      </c>
      <c r="B321" s="339"/>
      <c r="C321" s="245"/>
      <c r="D321" s="32" t="str">
        <f>IF(F300&gt;0, F300, "")</f>
        <v/>
      </c>
      <c r="E321" s="2"/>
      <c r="F321" s="340"/>
      <c r="G321" s="340"/>
      <c r="H321" s="340"/>
      <c r="J321" s="9" t="s">
        <v>439</v>
      </c>
    </row>
    <row r="322" spans="1:10" customFormat="1" ht="21" customHeight="1" x14ac:dyDescent="0.25">
      <c r="A322" s="6"/>
    </row>
    <row r="323" spans="1:10" customFormat="1" ht="21" customHeight="1" x14ac:dyDescent="0.25"/>
    <row r="324" spans="1:10" customFormat="1" ht="21" customHeight="1" x14ac:dyDescent="0.35">
      <c r="A324" s="321" t="s">
        <v>442</v>
      </c>
      <c r="B324" s="321"/>
      <c r="C324" s="321"/>
      <c r="D324" s="321"/>
      <c r="E324" s="321"/>
      <c r="F324" s="321"/>
      <c r="G324" s="321"/>
      <c r="H324" s="321"/>
    </row>
    <row r="325" spans="1:10" customFormat="1" ht="21" customHeight="1" x14ac:dyDescent="0.3">
      <c r="A325" s="106"/>
      <c r="B325" s="106"/>
      <c r="C325" s="106"/>
      <c r="D325" s="106"/>
      <c r="E325" s="106"/>
      <c r="F325" s="106"/>
      <c r="G325" s="106"/>
      <c r="H325" s="106"/>
      <c r="J325" s="9"/>
    </row>
    <row r="326" spans="1:10" s="148" customFormat="1" ht="21" customHeight="1" x14ac:dyDescent="0.35">
      <c r="A326" s="8" t="s">
        <v>443</v>
      </c>
      <c r="J326" s="139"/>
    </row>
    <row r="327" spans="1:10" customFormat="1" ht="21" customHeight="1" x14ac:dyDescent="0.25">
      <c r="A327" s="9"/>
    </row>
    <row r="328" spans="1:10" customFormat="1" ht="21" customHeight="1" x14ac:dyDescent="0.25">
      <c r="A328" s="6" t="s">
        <v>192</v>
      </c>
      <c r="B328" s="18">
        <f>IF($C$9&gt;0,$C$9,"")</f>
        <v>2024</v>
      </c>
      <c r="C328" s="18">
        <f>IF($C$9&gt;0,$C$9+1,"")</f>
        <v>2025</v>
      </c>
      <c r="D328" s="18">
        <f>IF($C$9&gt;0,$C$9+2,"")</f>
        <v>2026</v>
      </c>
      <c r="E328" s="109"/>
      <c r="F328" s="322" t="s">
        <v>444</v>
      </c>
      <c r="G328" s="322"/>
      <c r="J328" s="9" t="s">
        <v>445</v>
      </c>
    </row>
    <row r="329" spans="1:10" customFormat="1" ht="21" customHeight="1" x14ac:dyDescent="0.25">
      <c r="A329" s="96" t="s">
        <v>147</v>
      </c>
      <c r="B329" s="247">
        <v>1</v>
      </c>
      <c r="C329" s="247">
        <v>1</v>
      </c>
      <c r="D329" s="247">
        <v>1</v>
      </c>
      <c r="E329" s="144"/>
      <c r="F329" s="323"/>
      <c r="G329" s="324"/>
      <c r="H329" s="325"/>
      <c r="J329" s="9" t="s">
        <v>446</v>
      </c>
    </row>
    <row r="330" spans="1:10" customFormat="1" ht="21" customHeight="1" x14ac:dyDescent="0.25">
      <c r="A330" s="96" t="s">
        <v>194</v>
      </c>
      <c r="B330" s="247">
        <v>2</v>
      </c>
      <c r="C330" s="247">
        <v>2</v>
      </c>
      <c r="D330" s="247">
        <v>2</v>
      </c>
      <c r="E330" s="144"/>
      <c r="F330" s="326"/>
      <c r="G330" s="327"/>
      <c r="H330" s="328"/>
      <c r="J330" s="9" t="s">
        <v>447</v>
      </c>
    </row>
    <row r="331" spans="1:10" customFormat="1" ht="21" customHeight="1" x14ac:dyDescent="0.25">
      <c r="A331" s="96" t="s">
        <v>151</v>
      </c>
      <c r="B331" s="247">
        <v>8</v>
      </c>
      <c r="C331" s="247">
        <v>8</v>
      </c>
      <c r="D331" s="247">
        <v>8</v>
      </c>
      <c r="E331" s="144"/>
      <c r="F331" s="329"/>
      <c r="G331" s="330"/>
      <c r="H331" s="331"/>
      <c r="J331" s="9" t="s">
        <v>448</v>
      </c>
    </row>
    <row r="332" spans="1:10" customFormat="1" ht="21" customHeight="1" x14ac:dyDescent="0.25">
      <c r="A332" s="96" t="s">
        <v>449</v>
      </c>
      <c r="B332" s="22">
        <f>IF(B329+B330+B331&gt;0,SUM(B329:B331), "")</f>
        <v>11</v>
      </c>
      <c r="C332" s="22">
        <f>IF(C329+C330+C331&gt;0,SUM(C329:C331), "")</f>
        <v>11</v>
      </c>
      <c r="D332" s="22">
        <f>IF(D329+D330+D331&gt;0,SUM(D329:D331), "")</f>
        <v>11</v>
      </c>
      <c r="E332" s="110"/>
      <c r="F332" s="110"/>
      <c r="G332" s="110"/>
      <c r="J332" s="9" t="s">
        <v>450</v>
      </c>
    </row>
    <row r="333" spans="1:10" customFormat="1" ht="21" customHeight="1" x14ac:dyDescent="0.25">
      <c r="A333" s="96" t="s">
        <v>451</v>
      </c>
      <c r="B333" s="35">
        <f>IF(B329+B330&gt;0,(B329/(B329+B330)),"")</f>
        <v>0.33333333333333331</v>
      </c>
      <c r="C333" s="35">
        <f>IF(C329+C330&gt;0,(C329/(C329+C330)),"")</f>
        <v>0.33333333333333331</v>
      </c>
      <c r="D333" s="35">
        <f>IF(D329+D330&gt;0,(D329/(D329+D330)),"")</f>
        <v>0.33333333333333331</v>
      </c>
      <c r="E333" s="117"/>
      <c r="F333" s="117"/>
      <c r="G333" s="117"/>
      <c r="J333" s="9" t="s">
        <v>452</v>
      </c>
    </row>
    <row r="334" spans="1:10" customFormat="1" ht="21" customHeight="1" x14ac:dyDescent="0.25">
      <c r="A334" s="96" t="s">
        <v>453</v>
      </c>
      <c r="B334" s="35">
        <f>IF(B331&gt;0,(B331/B332),"")</f>
        <v>0.72727272727272729</v>
      </c>
      <c r="C334" s="35">
        <f>IF(C331&gt;0,(C331/C332),"")</f>
        <v>0.72727272727272729</v>
      </c>
      <c r="D334" s="35">
        <f>IF(D331&gt;0,(D331/D332),"")</f>
        <v>0.72727272727272729</v>
      </c>
      <c r="E334" s="117"/>
      <c r="F334" s="117"/>
      <c r="G334" s="117"/>
      <c r="J334" s="9" t="s">
        <v>454</v>
      </c>
    </row>
    <row r="335" spans="1:10" customFormat="1" ht="21" customHeight="1" x14ac:dyDescent="0.25">
      <c r="A335" s="96" t="s">
        <v>198</v>
      </c>
      <c r="B335" s="248">
        <v>11384</v>
      </c>
      <c r="C335" s="248">
        <v>11384</v>
      </c>
      <c r="D335" s="248">
        <v>11384</v>
      </c>
      <c r="J335" s="9" t="s">
        <v>455</v>
      </c>
    </row>
    <row r="336" spans="1:10" customFormat="1" ht="21" customHeight="1" x14ac:dyDescent="0.25">
      <c r="A336" s="96" t="s">
        <v>196</v>
      </c>
      <c r="B336" s="26">
        <f>IF(B329+B330+B331&gt;0,B332/B335*1000,"")</f>
        <v>0.96626844694307801</v>
      </c>
      <c r="C336" s="26">
        <f>IF(C329+C330+C331&gt;0,C332/C335*1000,"")</f>
        <v>0.96626844694307801</v>
      </c>
      <c r="D336" s="26">
        <f>IF(D329+D330+D331&gt;0,D332/D335*1000,"")</f>
        <v>0.96626844694307801</v>
      </c>
      <c r="E336" s="145"/>
      <c r="F336" s="145"/>
      <c r="G336" s="145"/>
      <c r="J336" s="9" t="s">
        <v>456</v>
      </c>
    </row>
    <row r="337" spans="1:10" customFormat="1" ht="21" customHeight="1" x14ac:dyDescent="0.25">
      <c r="A337" s="6"/>
    </row>
    <row r="338" spans="1:10" customFormat="1" ht="21" customHeight="1" x14ac:dyDescent="0.25">
      <c r="A338" s="116" t="s">
        <v>457</v>
      </c>
    </row>
    <row r="339" spans="1:10" customFormat="1" ht="21" customHeight="1" x14ac:dyDescent="0.25">
      <c r="A339" s="332"/>
      <c r="B339" s="332"/>
      <c r="C339" s="332"/>
      <c r="D339" s="332"/>
      <c r="E339" s="332"/>
      <c r="F339" s="332"/>
      <c r="G339" s="332"/>
      <c r="H339" s="332"/>
    </row>
    <row r="340" spans="1:10" customFormat="1" ht="21" customHeight="1" x14ac:dyDescent="0.25">
      <c r="A340" s="333"/>
      <c r="B340" s="334"/>
      <c r="C340" s="334"/>
      <c r="D340" s="334"/>
      <c r="E340" s="334"/>
      <c r="F340" s="334"/>
      <c r="G340" s="334"/>
      <c r="H340" s="334"/>
    </row>
    <row r="341" spans="1:10" customFormat="1" ht="21" customHeight="1" x14ac:dyDescent="0.25">
      <c r="A341" s="6"/>
    </row>
    <row r="342" spans="1:10" s="148" customFormat="1" ht="21" customHeight="1" x14ac:dyDescent="0.35">
      <c r="A342" s="249" t="s">
        <v>458</v>
      </c>
      <c r="J342" s="139"/>
    </row>
    <row r="343" spans="1:10" customFormat="1" ht="21" customHeight="1" x14ac:dyDescent="0.25">
      <c r="A343" s="64" t="s">
        <v>192</v>
      </c>
      <c r="B343" s="24">
        <f>IF(C9&gt;0,C9,"")</f>
        <v>2024</v>
      </c>
      <c r="C343" s="19">
        <f>IF(C9&gt;0,C9+1,"")</f>
        <v>2025</v>
      </c>
      <c r="D343" s="19">
        <f>IF(C9&gt;0,C9+2,"")</f>
        <v>2026</v>
      </c>
    </row>
    <row r="344" spans="1:10" customFormat="1" ht="21" customHeight="1" x14ac:dyDescent="0.25">
      <c r="A344" s="28" t="s">
        <v>459</v>
      </c>
      <c r="B344" s="250"/>
      <c r="C344" s="251"/>
      <c r="D344" s="251"/>
      <c r="J344" s="9" t="s">
        <v>460</v>
      </c>
    </row>
    <row r="345" spans="1:10" customFormat="1" ht="21" customHeight="1" x14ac:dyDescent="0.25">
      <c r="A345" s="28" t="s">
        <v>461</v>
      </c>
      <c r="B345" s="250"/>
      <c r="C345" s="251"/>
      <c r="D345" s="251"/>
      <c r="J345" s="9" t="s">
        <v>460</v>
      </c>
    </row>
    <row r="346" spans="1:10" customFormat="1" ht="21" customHeight="1" x14ac:dyDescent="0.25">
      <c r="A346" s="28" t="s">
        <v>462</v>
      </c>
      <c r="B346" s="250"/>
      <c r="C346" s="251"/>
      <c r="D346" s="251"/>
      <c r="J346" s="9" t="s">
        <v>460</v>
      </c>
    </row>
    <row r="347" spans="1:10" customFormat="1" ht="21" customHeight="1" x14ac:dyDescent="0.25">
      <c r="A347" s="28" t="s">
        <v>463</v>
      </c>
      <c r="B347" s="250"/>
      <c r="C347" s="251"/>
      <c r="D347" s="251"/>
      <c r="J347" s="9" t="s">
        <v>464</v>
      </c>
    </row>
    <row r="348" spans="1:10" customFormat="1" ht="21" customHeight="1" x14ac:dyDescent="0.25">
      <c r="A348" s="28" t="s">
        <v>465</v>
      </c>
      <c r="B348" s="250"/>
      <c r="C348" s="251"/>
      <c r="D348" s="251"/>
      <c r="J348" s="9" t="s">
        <v>464</v>
      </c>
    </row>
    <row r="349" spans="1:10" customFormat="1" ht="21" customHeight="1" x14ac:dyDescent="0.25">
      <c r="A349" s="28" t="s">
        <v>466</v>
      </c>
      <c r="B349" s="250"/>
      <c r="C349" s="251"/>
      <c r="D349" s="251"/>
      <c r="J349" s="9" t="s">
        <v>464</v>
      </c>
    </row>
    <row r="350" spans="1:10" customFormat="1" ht="21" customHeight="1" x14ac:dyDescent="0.25">
      <c r="A350" s="28" t="s">
        <v>467</v>
      </c>
      <c r="B350" s="250"/>
      <c r="C350" s="251"/>
      <c r="D350" s="251"/>
      <c r="J350" s="9" t="s">
        <v>464</v>
      </c>
    </row>
    <row r="351" spans="1:10" customFormat="1" ht="21" customHeight="1" x14ac:dyDescent="0.25">
      <c r="A351" s="112" t="s">
        <v>468</v>
      </c>
      <c r="B351" s="146"/>
      <c r="C351" s="146"/>
      <c r="D351" s="146"/>
    </row>
    <row r="352" spans="1:10" customFormat="1" ht="21" customHeight="1" x14ac:dyDescent="0.25">
      <c r="A352" s="335"/>
      <c r="B352" s="336"/>
      <c r="C352" s="336"/>
      <c r="D352" s="336"/>
      <c r="E352" s="336"/>
      <c r="F352" s="336"/>
      <c r="G352" s="336"/>
      <c r="H352" s="336"/>
    </row>
    <row r="353" spans="1:12" customFormat="1" ht="21" customHeight="1" x14ac:dyDescent="0.25">
      <c r="A353" s="333"/>
      <c r="B353" s="334"/>
      <c r="C353" s="334"/>
      <c r="D353" s="334"/>
      <c r="E353" s="334"/>
      <c r="F353" s="334"/>
      <c r="G353" s="334"/>
      <c r="H353" s="334"/>
    </row>
    <row r="354" spans="1:12" customFormat="1" ht="21" customHeight="1" x14ac:dyDescent="0.25">
      <c r="A354" s="6"/>
      <c r="B354" s="116"/>
      <c r="C354" s="116"/>
      <c r="D354" s="116"/>
    </row>
    <row r="355" spans="1:12" customFormat="1" ht="21" customHeight="1" x14ac:dyDescent="0.25">
      <c r="A355" s="6"/>
      <c r="B355" s="116"/>
      <c r="C355" s="116"/>
      <c r="D355" s="116"/>
    </row>
    <row r="356" spans="1:12" customFormat="1" ht="21" customHeight="1" x14ac:dyDescent="0.25">
      <c r="A356" s="6"/>
      <c r="B356" s="116"/>
      <c r="C356" s="116"/>
      <c r="D356" s="116"/>
    </row>
    <row r="357" spans="1:12" customFormat="1" ht="21" customHeight="1" x14ac:dyDescent="0.35">
      <c r="A357" s="337" t="s">
        <v>469</v>
      </c>
      <c r="B357" s="337"/>
      <c r="C357" s="337"/>
      <c r="D357" s="337"/>
      <c r="E357" s="337"/>
      <c r="F357" s="337"/>
      <c r="G357" s="337"/>
      <c r="H357" s="337"/>
    </row>
    <row r="358" spans="1:12" customFormat="1" ht="21" customHeight="1" x14ac:dyDescent="0.3">
      <c r="A358" s="106"/>
      <c r="B358" s="106"/>
      <c r="C358" s="106"/>
      <c r="D358" s="106"/>
      <c r="E358" s="106"/>
      <c r="F358" s="106"/>
      <c r="G358" s="106"/>
      <c r="H358" s="106"/>
      <c r="J358" s="9"/>
    </row>
    <row r="359" spans="1:12" customFormat="1" ht="21" customHeight="1" x14ac:dyDescent="0.35">
      <c r="A359" s="8" t="s">
        <v>470</v>
      </c>
      <c r="B359" s="6"/>
      <c r="C359" s="6"/>
      <c r="D359" s="6"/>
      <c r="J359" s="9"/>
    </row>
    <row r="360" spans="1:12" customFormat="1" ht="21" customHeight="1" x14ac:dyDescent="0.25">
      <c r="A360" s="100" t="s">
        <v>471</v>
      </c>
      <c r="B360" s="6"/>
      <c r="C360" s="6"/>
      <c r="D360" s="6"/>
      <c r="J360" s="9"/>
      <c r="L360" s="9"/>
    </row>
    <row r="361" spans="1:12" customFormat="1" ht="21" customHeight="1" x14ac:dyDescent="0.25">
      <c r="B361" s="116"/>
      <c r="C361" s="116"/>
      <c r="D361" s="116"/>
      <c r="J361" s="9"/>
      <c r="L361" s="9"/>
    </row>
    <row r="362" spans="1:12" customFormat="1" ht="21" customHeight="1" x14ac:dyDescent="0.25">
      <c r="B362" s="116"/>
      <c r="C362" s="116"/>
      <c r="D362" s="116"/>
      <c r="J362" s="9"/>
      <c r="L362" s="9"/>
    </row>
    <row r="363" spans="1:12" customFormat="1" ht="21" customHeight="1" x14ac:dyDescent="0.25">
      <c r="J363" s="9"/>
      <c r="L363" s="9"/>
    </row>
    <row r="364" spans="1:12" customFormat="1" ht="21" customHeight="1" x14ac:dyDescent="0.25">
      <c r="A364" s="319"/>
      <c r="B364" s="319"/>
      <c r="J364" s="9" t="s">
        <v>472</v>
      </c>
      <c r="L364" s="9"/>
    </row>
    <row r="365" spans="1:12" customFormat="1" ht="21" customHeight="1" x14ac:dyDescent="0.25">
      <c r="A365" s="147" t="s">
        <v>473</v>
      </c>
      <c r="J365" s="9"/>
      <c r="L365" s="9"/>
    </row>
    <row r="366" spans="1:12" customFormat="1" ht="21" customHeight="1" x14ac:dyDescent="0.25">
      <c r="A366" s="318" t="s">
        <v>1337</v>
      </c>
      <c r="B366" s="318"/>
      <c r="J366" s="9"/>
      <c r="L366" s="9"/>
    </row>
    <row r="367" spans="1:12" customFormat="1" ht="21" customHeight="1" x14ac:dyDescent="0.25">
      <c r="A367" s="147" t="s">
        <v>474</v>
      </c>
      <c r="D367" s="96" t="s">
        <v>475</v>
      </c>
      <c r="J367" s="9"/>
    </row>
    <row r="368" spans="1:12" customFormat="1" ht="21" customHeight="1" x14ac:dyDescent="0.25">
      <c r="A368" s="91" t="s">
        <v>476</v>
      </c>
      <c r="D368" s="252"/>
      <c r="J368" s="9"/>
    </row>
    <row r="369" spans="1:10" customFormat="1" ht="21" customHeight="1" x14ac:dyDescent="0.25">
      <c r="A369" s="91" t="s">
        <v>477</v>
      </c>
      <c r="D369" s="252"/>
      <c r="J369" s="9"/>
    </row>
    <row r="370" spans="1:10" customFormat="1" ht="21" customHeight="1" x14ac:dyDescent="0.25">
      <c r="D370" s="146"/>
      <c r="J370" s="9"/>
    </row>
    <row r="371" spans="1:10" customFormat="1" ht="21" customHeight="1" x14ac:dyDescent="0.25">
      <c r="D371" s="146"/>
      <c r="J371" s="9"/>
    </row>
    <row r="372" spans="1:10" customFormat="1" ht="21" customHeight="1" x14ac:dyDescent="0.25">
      <c r="A372" s="319"/>
      <c r="B372" s="319"/>
      <c r="J372" s="9" t="s">
        <v>478</v>
      </c>
    </row>
    <row r="373" spans="1:10" customFormat="1" ht="21" customHeight="1" x14ac:dyDescent="0.25">
      <c r="A373" s="147" t="s">
        <v>479</v>
      </c>
      <c r="J373" s="9"/>
    </row>
    <row r="374" spans="1:10" customFormat="1" ht="21" customHeight="1" x14ac:dyDescent="0.25">
      <c r="A374" s="318"/>
      <c r="B374" s="318"/>
      <c r="J374" s="9"/>
    </row>
    <row r="375" spans="1:10" customFormat="1" ht="21" customHeight="1" x14ac:dyDescent="0.25">
      <c r="A375" s="147" t="s">
        <v>474</v>
      </c>
      <c r="J375" s="9"/>
    </row>
    <row r="376" spans="1:10" customFormat="1" ht="21" customHeight="1" x14ac:dyDescent="0.25">
      <c r="A376" s="320"/>
      <c r="B376" s="320"/>
      <c r="C376" s="320"/>
      <c r="D376" s="320"/>
      <c r="E376" s="320"/>
      <c r="J376" s="9" t="s">
        <v>480</v>
      </c>
    </row>
    <row r="377" spans="1:10" customFormat="1" ht="21" customHeight="1" x14ac:dyDescent="0.25">
      <c r="A377" s="320"/>
      <c r="B377" s="320"/>
      <c r="C377" s="320"/>
      <c r="D377" s="320"/>
      <c r="E377" s="320"/>
      <c r="J377" s="9"/>
    </row>
    <row r="378" spans="1:10" customFormat="1" ht="21" customHeight="1" x14ac:dyDescent="0.25">
      <c r="A378" s="320"/>
      <c r="B378" s="320"/>
      <c r="C378" s="320"/>
      <c r="D378" s="320"/>
      <c r="E378" s="320"/>
      <c r="J378" s="9"/>
    </row>
    <row r="379" spans="1:10" customFormat="1" ht="21" customHeight="1" x14ac:dyDescent="0.25">
      <c r="A379" s="147" t="s">
        <v>481</v>
      </c>
      <c r="J379" s="9"/>
    </row>
    <row r="380" spans="1:10" customFormat="1" ht="21" customHeight="1" x14ac:dyDescent="0.25">
      <c r="J380" s="9"/>
    </row>
    <row r="381" spans="1:10" customFormat="1" ht="21" customHeight="1" x14ac:dyDescent="0.35">
      <c r="A381" s="8" t="s">
        <v>482</v>
      </c>
      <c r="J381" s="9"/>
    </row>
    <row r="382" spans="1:10" customFormat="1" ht="21" customHeight="1" x14ac:dyDescent="0.25">
      <c r="A382" s="320"/>
      <c r="B382" s="320"/>
      <c r="C382" s="320"/>
      <c r="D382" s="320"/>
      <c r="E382" s="320"/>
      <c r="J382" s="9" t="s">
        <v>483</v>
      </c>
    </row>
    <row r="383" spans="1:10" customFormat="1" ht="21" customHeight="1" x14ac:dyDescent="0.25">
      <c r="A383" s="320"/>
      <c r="B383" s="320"/>
      <c r="C383" s="320"/>
      <c r="D383" s="320"/>
      <c r="E383" s="320"/>
      <c r="J383" s="9"/>
    </row>
    <row r="384" spans="1:10" customFormat="1" ht="21" customHeight="1" x14ac:dyDescent="0.25">
      <c r="A384" s="320"/>
      <c r="B384" s="320"/>
      <c r="C384" s="320"/>
      <c r="D384" s="320"/>
      <c r="E384" s="320"/>
      <c r="J384" s="9"/>
    </row>
    <row r="385" spans="10:10" customFormat="1" ht="21" customHeight="1" x14ac:dyDescent="0.25">
      <c r="J385" s="9"/>
    </row>
    <row r="386" spans="10:10" customFormat="1" ht="21" customHeight="1" x14ac:dyDescent="0.25">
      <c r="J386" s="9"/>
    </row>
    <row r="387" spans="10:10" customFormat="1" ht="21" customHeight="1" x14ac:dyDescent="0.25">
      <c r="J387" s="9"/>
    </row>
    <row r="388" spans="10:10" customFormat="1" ht="21" customHeight="1" x14ac:dyDescent="0.25">
      <c r="J388" s="9"/>
    </row>
    <row r="389" spans="10:10" customFormat="1" ht="21" customHeight="1" x14ac:dyDescent="0.25">
      <c r="J389" s="9"/>
    </row>
    <row r="390" spans="10:10" customFormat="1" ht="21" customHeight="1" x14ac:dyDescent="0.25">
      <c r="J390" s="9"/>
    </row>
    <row r="391" spans="10:10" customFormat="1" ht="21" customHeight="1" x14ac:dyDescent="0.25">
      <c r="J391" s="9"/>
    </row>
    <row r="392" spans="10:10" customFormat="1" ht="21" customHeight="1" x14ac:dyDescent="0.25">
      <c r="J392" s="9"/>
    </row>
    <row r="393" spans="10:10" customFormat="1" ht="21" customHeight="1" x14ac:dyDescent="0.25">
      <c r="J393" s="9"/>
    </row>
    <row r="394" spans="10:10" customFormat="1" ht="21" customHeight="1" x14ac:dyDescent="0.25">
      <c r="J394" s="9"/>
    </row>
    <row r="395" spans="10:10" customFormat="1" ht="21" customHeight="1" x14ac:dyDescent="0.25">
      <c r="J395" s="9"/>
    </row>
    <row r="396" spans="10:10" customFormat="1" ht="21" customHeight="1" x14ac:dyDescent="0.25">
      <c r="J396" s="9"/>
    </row>
    <row r="397" spans="10:10" customFormat="1" ht="21" customHeight="1" x14ac:dyDescent="0.25">
      <c r="J397" s="9"/>
    </row>
    <row r="398" spans="10:10" customFormat="1" ht="21" customHeight="1" x14ac:dyDescent="0.25">
      <c r="J398" s="9"/>
    </row>
    <row r="399" spans="10:10" customFormat="1" ht="21" customHeight="1" x14ac:dyDescent="0.25">
      <c r="J399" s="9"/>
    </row>
    <row r="400" spans="10:10" customFormat="1" ht="21" customHeight="1" x14ac:dyDescent="0.25">
      <c r="J400" s="9"/>
    </row>
    <row r="401" spans="10:10" customFormat="1" ht="21" customHeight="1" x14ac:dyDescent="0.25">
      <c r="J401" s="9"/>
    </row>
    <row r="402" spans="10:10" customFormat="1" ht="21" customHeight="1" x14ac:dyDescent="0.25">
      <c r="J402" s="9"/>
    </row>
    <row r="403" spans="10:10" customFormat="1" ht="21" customHeight="1" x14ac:dyDescent="0.25">
      <c r="J403" s="9"/>
    </row>
    <row r="404" spans="10:10" customFormat="1" ht="21" customHeight="1" x14ac:dyDescent="0.25">
      <c r="J404" s="9"/>
    </row>
    <row r="405" spans="10:10" customFormat="1" ht="21" customHeight="1" x14ac:dyDescent="0.25">
      <c r="J405" s="9"/>
    </row>
    <row r="406" spans="10:10" customFormat="1" ht="21" customHeight="1" x14ac:dyDescent="0.25">
      <c r="J406" s="9"/>
    </row>
    <row r="407" spans="10:10" customFormat="1" ht="21" customHeight="1" x14ac:dyDescent="0.25">
      <c r="J407" s="9"/>
    </row>
  </sheetData>
  <sheetProtection algorithmName="SHA-512" hashValue="AU4w+540AH9kK1tWp/6jzVLAahh+FAYDpE4Nwr+5kZiYYilS6SKOFTnHzE0k5dQ95kigoEHK16IgiyHgWoL1xw==" saltValue="N+7I3dDCQKD4dRgbUbxsfg==" spinCount="100000" sheet="1" objects="1"/>
  <dataConsolidate/>
  <mergeCells count="111">
    <mergeCell ref="C1:E1"/>
    <mergeCell ref="J1:K1"/>
    <mergeCell ref="C10:E10"/>
    <mergeCell ref="C11:E11"/>
    <mergeCell ref="D13:E13"/>
    <mergeCell ref="C14:E14"/>
    <mergeCell ref="C15:E15"/>
    <mergeCell ref="C16:E16"/>
    <mergeCell ref="C17:E17"/>
    <mergeCell ref="C18:E18"/>
    <mergeCell ref="A21:H21"/>
    <mergeCell ref="A23:H23"/>
    <mergeCell ref="A24:H24"/>
    <mergeCell ref="A25:H25"/>
    <mergeCell ref="A29:G29"/>
    <mergeCell ref="A31:G31"/>
    <mergeCell ref="A33:G33"/>
    <mergeCell ref="A35:G35"/>
    <mergeCell ref="A37:G37"/>
    <mergeCell ref="A45:H45"/>
    <mergeCell ref="A47:H47"/>
    <mergeCell ref="B51:H51"/>
    <mergeCell ref="A70:H70"/>
    <mergeCell ref="A71:H71"/>
    <mergeCell ref="A73:H73"/>
    <mergeCell ref="B74:E74"/>
    <mergeCell ref="B75:E75"/>
    <mergeCell ref="B76:E76"/>
    <mergeCell ref="B77:E77"/>
    <mergeCell ref="A79:H79"/>
    <mergeCell ref="A97:H97"/>
    <mergeCell ref="A98:H98"/>
    <mergeCell ref="A108:H108"/>
    <mergeCell ref="A109:H109"/>
    <mergeCell ref="A123:H123"/>
    <mergeCell ref="A124:H124"/>
    <mergeCell ref="A125:H125"/>
    <mergeCell ref="A135:H135"/>
    <mergeCell ref="A136:H136"/>
    <mergeCell ref="A145:H145"/>
    <mergeCell ref="A146:H146"/>
    <mergeCell ref="A155:H155"/>
    <mergeCell ref="A156:H156"/>
    <mergeCell ref="A163:H163"/>
    <mergeCell ref="A164:H164"/>
    <mergeCell ref="A173:H173"/>
    <mergeCell ref="A174:H174"/>
    <mergeCell ref="A191:H191"/>
    <mergeCell ref="A192:H192"/>
    <mergeCell ref="A224:H224"/>
    <mergeCell ref="A226:H226"/>
    <mergeCell ref="A238:B238"/>
    <mergeCell ref="B239:D239"/>
    <mergeCell ref="B240:D240"/>
    <mergeCell ref="B241:D241"/>
    <mergeCell ref="B242:D242"/>
    <mergeCell ref="B243:D243"/>
    <mergeCell ref="B251:C251"/>
    <mergeCell ref="B253:H253"/>
    <mergeCell ref="A255:H255"/>
    <mergeCell ref="A256:H256"/>
    <mergeCell ref="A257:H257"/>
    <mergeCell ref="A258:H258"/>
    <mergeCell ref="A264:H264"/>
    <mergeCell ref="A265:H265"/>
    <mergeCell ref="A267:H267"/>
    <mergeCell ref="A307:H307"/>
    <mergeCell ref="A309:B309"/>
    <mergeCell ref="F309:H309"/>
    <mergeCell ref="A310:B310"/>
    <mergeCell ref="F310:H310"/>
    <mergeCell ref="A311:B311"/>
    <mergeCell ref="F311:H311"/>
    <mergeCell ref="A312:B312"/>
    <mergeCell ref="F312:H312"/>
    <mergeCell ref="A313:B313"/>
    <mergeCell ref="F313:H313"/>
    <mergeCell ref="A314:B314"/>
    <mergeCell ref="F314:H314"/>
    <mergeCell ref="A315:B315"/>
    <mergeCell ref="F315:H315"/>
    <mergeCell ref="A316:B316"/>
    <mergeCell ref="F316:H316"/>
    <mergeCell ref="A317:B317"/>
    <mergeCell ref="F317:H317"/>
    <mergeCell ref="A318:B318"/>
    <mergeCell ref="F318:H318"/>
    <mergeCell ref="A319:B319"/>
    <mergeCell ref="F319:H319"/>
    <mergeCell ref="A320:B320"/>
    <mergeCell ref="F320:H320"/>
    <mergeCell ref="A321:B321"/>
    <mergeCell ref="F321:H321"/>
    <mergeCell ref="A324:H324"/>
    <mergeCell ref="F328:G328"/>
    <mergeCell ref="F329:H331"/>
    <mergeCell ref="A339:H339"/>
    <mergeCell ref="A340:H340"/>
    <mergeCell ref="A352:H352"/>
    <mergeCell ref="A353:H353"/>
    <mergeCell ref="A357:H357"/>
    <mergeCell ref="A364:B364"/>
    <mergeCell ref="A366:B366"/>
    <mergeCell ref="A372:B372"/>
    <mergeCell ref="A374:B374"/>
    <mergeCell ref="A376:E376"/>
    <mergeCell ref="A377:E377"/>
    <mergeCell ref="A378:E378"/>
    <mergeCell ref="A382:E382"/>
    <mergeCell ref="A383:E383"/>
    <mergeCell ref="A384:E384"/>
  </mergeCells>
  <conditionalFormatting sqref="B103">
    <cfRule type="expression" dxfId="4" priority="4">
      <formula>$B$103&lt;5000</formula>
    </cfRule>
  </conditionalFormatting>
  <conditionalFormatting sqref="B90:D90 B117:G117 B118:F120 G120">
    <cfRule type="containsErrors" dxfId="3" priority="5">
      <formula>ISERROR(B90)</formula>
    </cfRule>
  </conditionalFormatting>
  <conditionalFormatting sqref="C103">
    <cfRule type="expression" dxfId="2" priority="3">
      <formula>$C$103&lt;5000</formula>
    </cfRule>
  </conditionalFormatting>
  <conditionalFormatting sqref="D103">
    <cfRule type="expression" dxfId="1" priority="2">
      <formula>$D$103&lt;5000</formula>
    </cfRule>
  </conditionalFormatting>
  <conditionalFormatting sqref="E103">
    <cfRule type="expression" dxfId="0" priority="1">
      <formula>$E$103&lt;5000</formula>
    </cfRule>
  </conditionalFormatting>
  <hyperlinks>
    <hyperlink ref="J202" r:id="rId1" xr:uid="{00000000-0004-0000-0300-000000000000}"/>
    <hyperlink ref="J230" r:id="rId2" xr:uid="{00000000-0004-0000-0300-000001000000}"/>
    <hyperlink ref="J238" r:id="rId3" xr:uid="{00000000-0004-0000-0300-000002000000}"/>
  </hyperlinks>
  <pageMargins left="0.47244094488188981" right="0.43307086614173229" top="0.70866141732283472" bottom="0.70866141732283472" header="0.27559055118110237" footer="0.27559055118110237"/>
  <pageSetup paperSize="9" scale="70" orientation="portrait" r:id="rId4"/>
  <headerFooter>
    <oddHeader>&amp;L&amp;22ÄLGSKÖTSELSPLAN&amp;RVersion 2.2 uppdaterad 2021-06-30</oddHeader>
    <oddFooter>&amp;L&amp;KFF0000&amp;F</oddFooter>
  </headerFooter>
  <rowBreaks count="10" manualBreakCount="10">
    <brk id="26" max="7" man="1"/>
    <brk id="44" max="16383" man="1"/>
    <brk id="78" max="7" man="1"/>
    <brk id="124" max="7" man="1"/>
    <brk id="174" max="16383" man="1"/>
    <brk id="223" max="7" man="1"/>
    <brk id="266" max="7" man="1"/>
    <brk id="306" max="7" man="1"/>
    <brk id="356" max="7" man="1"/>
    <brk id="388" max="7" man="1"/>
  </rowBreaks>
  <drawing r:id="rId5"/>
  <legacyDrawing r:id="rId6"/>
  <mc:AlternateContent xmlns:mc="http://schemas.openxmlformats.org/markup-compatibility/2006">
    <mc:Choice Requires="x14">
      <controls>
        <mc:AlternateContent xmlns:mc="http://schemas.openxmlformats.org/markup-compatibility/2006">
          <mc:Choice Requires="x14">
            <control shapeId="1029" r:id="rId7" name="Check Box 5">
              <controlPr locked="0" defaultSize="0" autoFill="0" autoLine="0" autoPict="0" altText="Beslutad av _x000a_Länsstyrelsen">
                <anchor moveWithCells="1">
                  <from>
                    <xdr:col>5</xdr:col>
                    <xdr:colOff>19050</xdr:colOff>
                    <xdr:row>328</xdr:row>
                    <xdr:rowOff>0</xdr:rowOff>
                  </from>
                  <to>
                    <xdr:col>7</xdr:col>
                    <xdr:colOff>57150</xdr:colOff>
                    <xdr:row>329</xdr:row>
                    <xdr:rowOff>0</xdr:rowOff>
                  </to>
                </anchor>
              </controlPr>
            </control>
          </mc:Choice>
        </mc:AlternateContent>
        <mc:AlternateContent xmlns:mc="http://schemas.openxmlformats.org/markup-compatibility/2006">
          <mc:Choice Requires="x14">
            <control shapeId="1043" r:id="rId8" name="Check Box 19">
              <controlPr defaultSize="0" autoFill="0" autoLine="0" autoPict="0">
                <anchor moveWithCells="1">
                  <from>
                    <xdr:col>1</xdr:col>
                    <xdr:colOff>28575</xdr:colOff>
                    <xdr:row>194</xdr:row>
                    <xdr:rowOff>9525</xdr:rowOff>
                  </from>
                  <to>
                    <xdr:col>2</xdr:col>
                    <xdr:colOff>19050</xdr:colOff>
                    <xdr:row>194</xdr:row>
                    <xdr:rowOff>257175</xdr:rowOff>
                  </to>
                </anchor>
              </controlPr>
            </control>
          </mc:Choice>
        </mc:AlternateContent>
        <mc:AlternateContent xmlns:mc="http://schemas.openxmlformats.org/markup-compatibility/2006">
          <mc:Choice Requires="x14">
            <control shapeId="1058" r:id="rId9" name="Check Box 34">
              <controlPr defaultSize="0" autoFill="0" autoLine="0" autoPict="0">
                <anchor moveWithCells="1">
                  <from>
                    <xdr:col>2</xdr:col>
                    <xdr:colOff>28575</xdr:colOff>
                    <xdr:row>194</xdr:row>
                    <xdr:rowOff>9525</xdr:rowOff>
                  </from>
                  <to>
                    <xdr:col>2</xdr:col>
                    <xdr:colOff>923925</xdr:colOff>
                    <xdr:row>194</xdr:row>
                    <xdr:rowOff>257175</xdr:rowOff>
                  </to>
                </anchor>
              </controlPr>
            </control>
          </mc:Choice>
        </mc:AlternateContent>
        <mc:AlternateContent xmlns:mc="http://schemas.openxmlformats.org/markup-compatibility/2006">
          <mc:Choice Requires="x14">
            <control shapeId="1059" r:id="rId10" name="Check Box 35">
              <controlPr defaultSize="0" autoFill="0" autoLine="0" autoPict="0">
                <anchor moveWithCells="1">
                  <from>
                    <xdr:col>3</xdr:col>
                    <xdr:colOff>28575</xdr:colOff>
                    <xdr:row>194</xdr:row>
                    <xdr:rowOff>9525</xdr:rowOff>
                  </from>
                  <to>
                    <xdr:col>4</xdr:col>
                    <xdr:colOff>19050</xdr:colOff>
                    <xdr:row>194</xdr:row>
                    <xdr:rowOff>257175</xdr:rowOff>
                  </to>
                </anchor>
              </controlPr>
            </control>
          </mc:Choice>
        </mc:AlternateContent>
        <mc:AlternateContent xmlns:mc="http://schemas.openxmlformats.org/markup-compatibility/2006">
          <mc:Choice Requires="x14">
            <control shapeId="1060" r:id="rId11" name="Check Box 36">
              <controlPr defaultSize="0" autoFill="0" autoLine="0" autoPict="0">
                <anchor moveWithCells="1">
                  <from>
                    <xdr:col>1</xdr:col>
                    <xdr:colOff>28575</xdr:colOff>
                    <xdr:row>195</xdr:row>
                    <xdr:rowOff>9525</xdr:rowOff>
                  </from>
                  <to>
                    <xdr:col>2</xdr:col>
                    <xdr:colOff>19050</xdr:colOff>
                    <xdr:row>195</xdr:row>
                    <xdr:rowOff>257175</xdr:rowOff>
                  </to>
                </anchor>
              </controlPr>
            </control>
          </mc:Choice>
        </mc:AlternateContent>
        <mc:AlternateContent xmlns:mc="http://schemas.openxmlformats.org/markup-compatibility/2006">
          <mc:Choice Requires="x14">
            <control shapeId="1061" r:id="rId12" name="Check Box 37">
              <controlPr defaultSize="0" autoFill="0" autoLine="0" autoPict="0">
                <anchor moveWithCells="1">
                  <from>
                    <xdr:col>2</xdr:col>
                    <xdr:colOff>28575</xdr:colOff>
                    <xdr:row>195</xdr:row>
                    <xdr:rowOff>9525</xdr:rowOff>
                  </from>
                  <to>
                    <xdr:col>2</xdr:col>
                    <xdr:colOff>923925</xdr:colOff>
                    <xdr:row>195</xdr:row>
                    <xdr:rowOff>257175</xdr:rowOff>
                  </to>
                </anchor>
              </controlPr>
            </control>
          </mc:Choice>
        </mc:AlternateContent>
        <mc:AlternateContent xmlns:mc="http://schemas.openxmlformats.org/markup-compatibility/2006">
          <mc:Choice Requires="x14">
            <control shapeId="1062" r:id="rId13" name="Check Box 38">
              <controlPr defaultSize="0" autoFill="0" autoLine="0" autoPict="0">
                <anchor moveWithCells="1">
                  <from>
                    <xdr:col>3</xdr:col>
                    <xdr:colOff>28575</xdr:colOff>
                    <xdr:row>195</xdr:row>
                    <xdr:rowOff>9525</xdr:rowOff>
                  </from>
                  <to>
                    <xdr:col>4</xdr:col>
                    <xdr:colOff>19050</xdr:colOff>
                    <xdr:row>195</xdr:row>
                    <xdr:rowOff>257175</xdr:rowOff>
                  </to>
                </anchor>
              </controlPr>
            </control>
          </mc:Choice>
        </mc:AlternateContent>
        <mc:AlternateContent xmlns:mc="http://schemas.openxmlformats.org/markup-compatibility/2006">
          <mc:Choice Requires="x14">
            <control shapeId="1063" r:id="rId14" name="Check Box 39">
              <controlPr defaultSize="0" autoFill="0" autoLine="0" autoPict="0">
                <anchor moveWithCells="1">
                  <from>
                    <xdr:col>1</xdr:col>
                    <xdr:colOff>28575</xdr:colOff>
                    <xdr:row>196</xdr:row>
                    <xdr:rowOff>9525</xdr:rowOff>
                  </from>
                  <to>
                    <xdr:col>2</xdr:col>
                    <xdr:colOff>19050</xdr:colOff>
                    <xdr:row>196</xdr:row>
                    <xdr:rowOff>257175</xdr:rowOff>
                  </to>
                </anchor>
              </controlPr>
            </control>
          </mc:Choice>
        </mc:AlternateContent>
        <mc:AlternateContent xmlns:mc="http://schemas.openxmlformats.org/markup-compatibility/2006">
          <mc:Choice Requires="x14">
            <control shapeId="1064" r:id="rId15" name="Check Box 40">
              <controlPr defaultSize="0" autoFill="0" autoLine="0" autoPict="0">
                <anchor moveWithCells="1">
                  <from>
                    <xdr:col>2</xdr:col>
                    <xdr:colOff>28575</xdr:colOff>
                    <xdr:row>196</xdr:row>
                    <xdr:rowOff>9525</xdr:rowOff>
                  </from>
                  <to>
                    <xdr:col>2</xdr:col>
                    <xdr:colOff>923925</xdr:colOff>
                    <xdr:row>196</xdr:row>
                    <xdr:rowOff>257175</xdr:rowOff>
                  </to>
                </anchor>
              </controlPr>
            </control>
          </mc:Choice>
        </mc:AlternateContent>
        <mc:AlternateContent xmlns:mc="http://schemas.openxmlformats.org/markup-compatibility/2006">
          <mc:Choice Requires="x14">
            <control shapeId="1065" r:id="rId16" name="Check Box 41">
              <controlPr defaultSize="0" autoFill="0" autoLine="0" autoPict="0">
                <anchor moveWithCells="1">
                  <from>
                    <xdr:col>3</xdr:col>
                    <xdr:colOff>28575</xdr:colOff>
                    <xdr:row>196</xdr:row>
                    <xdr:rowOff>9525</xdr:rowOff>
                  </from>
                  <to>
                    <xdr:col>4</xdr:col>
                    <xdr:colOff>19050</xdr:colOff>
                    <xdr:row>196</xdr:row>
                    <xdr:rowOff>257175</xdr:rowOff>
                  </to>
                </anchor>
              </controlPr>
            </control>
          </mc:Choice>
        </mc:AlternateContent>
        <mc:AlternateContent xmlns:mc="http://schemas.openxmlformats.org/markup-compatibility/2006">
          <mc:Choice Requires="x14">
            <control shapeId="1066" r:id="rId17" name="Check Box 42">
              <controlPr defaultSize="0" autoFill="0" autoLine="0" autoPict="0">
                <anchor moveWithCells="1">
                  <from>
                    <xdr:col>1</xdr:col>
                    <xdr:colOff>28575</xdr:colOff>
                    <xdr:row>197</xdr:row>
                    <xdr:rowOff>9525</xdr:rowOff>
                  </from>
                  <to>
                    <xdr:col>2</xdr:col>
                    <xdr:colOff>19050</xdr:colOff>
                    <xdr:row>197</xdr:row>
                    <xdr:rowOff>257175</xdr:rowOff>
                  </to>
                </anchor>
              </controlPr>
            </control>
          </mc:Choice>
        </mc:AlternateContent>
        <mc:AlternateContent xmlns:mc="http://schemas.openxmlformats.org/markup-compatibility/2006">
          <mc:Choice Requires="x14">
            <control shapeId="1067" r:id="rId18" name="Check Box 43">
              <controlPr defaultSize="0" autoFill="0" autoLine="0" autoPict="0">
                <anchor moveWithCells="1">
                  <from>
                    <xdr:col>2</xdr:col>
                    <xdr:colOff>28575</xdr:colOff>
                    <xdr:row>197</xdr:row>
                    <xdr:rowOff>9525</xdr:rowOff>
                  </from>
                  <to>
                    <xdr:col>2</xdr:col>
                    <xdr:colOff>923925</xdr:colOff>
                    <xdr:row>197</xdr:row>
                    <xdr:rowOff>257175</xdr:rowOff>
                  </to>
                </anchor>
              </controlPr>
            </control>
          </mc:Choice>
        </mc:AlternateContent>
        <mc:AlternateContent xmlns:mc="http://schemas.openxmlformats.org/markup-compatibility/2006">
          <mc:Choice Requires="x14">
            <control shapeId="1068" r:id="rId19" name="Check Box 44">
              <controlPr defaultSize="0" autoFill="0" autoLine="0" autoPict="0">
                <anchor moveWithCells="1">
                  <from>
                    <xdr:col>3</xdr:col>
                    <xdr:colOff>28575</xdr:colOff>
                    <xdr:row>197</xdr:row>
                    <xdr:rowOff>9525</xdr:rowOff>
                  </from>
                  <to>
                    <xdr:col>4</xdr:col>
                    <xdr:colOff>19050</xdr:colOff>
                    <xdr:row>197</xdr:row>
                    <xdr:rowOff>257175</xdr:rowOff>
                  </to>
                </anchor>
              </controlPr>
            </control>
          </mc:Choice>
        </mc:AlternateContent>
        <mc:AlternateContent xmlns:mc="http://schemas.openxmlformats.org/markup-compatibility/2006">
          <mc:Choice Requires="x14">
            <control shapeId="1069" r:id="rId20" name="Check Box 45">
              <controlPr defaultSize="0" autoFill="0" autoLine="0" autoPict="0">
                <anchor moveWithCells="1">
                  <from>
                    <xdr:col>1</xdr:col>
                    <xdr:colOff>28575</xdr:colOff>
                    <xdr:row>176</xdr:row>
                    <xdr:rowOff>9525</xdr:rowOff>
                  </from>
                  <to>
                    <xdr:col>2</xdr:col>
                    <xdr:colOff>9525</xdr:colOff>
                    <xdr:row>176</xdr:row>
                    <xdr:rowOff>257175</xdr:rowOff>
                  </to>
                </anchor>
              </controlPr>
            </control>
          </mc:Choice>
        </mc:AlternateContent>
        <mc:AlternateContent xmlns:mc="http://schemas.openxmlformats.org/markup-compatibility/2006">
          <mc:Choice Requires="x14">
            <control shapeId="1070" r:id="rId21" name="Check Box 46">
              <controlPr defaultSize="0" autoFill="0" autoLine="0" autoPict="0">
                <anchor moveWithCells="1">
                  <from>
                    <xdr:col>2</xdr:col>
                    <xdr:colOff>28575</xdr:colOff>
                    <xdr:row>176</xdr:row>
                    <xdr:rowOff>9525</xdr:rowOff>
                  </from>
                  <to>
                    <xdr:col>2</xdr:col>
                    <xdr:colOff>923925</xdr:colOff>
                    <xdr:row>176</xdr:row>
                    <xdr:rowOff>257175</xdr:rowOff>
                  </to>
                </anchor>
              </controlPr>
            </control>
          </mc:Choice>
        </mc:AlternateContent>
        <mc:AlternateContent xmlns:mc="http://schemas.openxmlformats.org/markup-compatibility/2006">
          <mc:Choice Requires="x14">
            <control shapeId="1072" r:id="rId22" name="Check Box 48">
              <controlPr defaultSize="0" autoFill="0" autoLine="0" autoPict="0">
                <anchor moveWithCells="1">
                  <from>
                    <xdr:col>3</xdr:col>
                    <xdr:colOff>28575</xdr:colOff>
                    <xdr:row>176</xdr:row>
                    <xdr:rowOff>9525</xdr:rowOff>
                  </from>
                  <to>
                    <xdr:col>4</xdr:col>
                    <xdr:colOff>9525</xdr:colOff>
                    <xdr:row>176</xdr:row>
                    <xdr:rowOff>257175</xdr:rowOff>
                  </to>
                </anchor>
              </controlPr>
            </control>
          </mc:Choice>
        </mc:AlternateContent>
        <mc:AlternateContent xmlns:mc="http://schemas.openxmlformats.org/markup-compatibility/2006">
          <mc:Choice Requires="x14">
            <control shapeId="1074" r:id="rId23" name="Check Box 50">
              <controlPr defaultSize="0" autoFill="0" autoLine="0" autoPict="0">
                <anchor moveWithCells="1">
                  <from>
                    <xdr:col>1</xdr:col>
                    <xdr:colOff>19050</xdr:colOff>
                    <xdr:row>234</xdr:row>
                    <xdr:rowOff>9525</xdr:rowOff>
                  </from>
                  <to>
                    <xdr:col>2</xdr:col>
                    <xdr:colOff>0</xdr:colOff>
                    <xdr:row>234</xdr:row>
                    <xdr:rowOff>257175</xdr:rowOff>
                  </to>
                </anchor>
              </controlPr>
            </control>
          </mc:Choice>
        </mc:AlternateContent>
        <mc:AlternateContent xmlns:mc="http://schemas.openxmlformats.org/markup-compatibility/2006">
          <mc:Choice Requires="x14">
            <control shapeId="1075" r:id="rId24" name="Check Box 51">
              <controlPr defaultSize="0" autoFill="0" autoLine="0" autoPict="0">
                <anchor moveWithCells="1">
                  <from>
                    <xdr:col>2</xdr:col>
                    <xdr:colOff>19050</xdr:colOff>
                    <xdr:row>234</xdr:row>
                    <xdr:rowOff>9525</xdr:rowOff>
                  </from>
                  <to>
                    <xdr:col>2</xdr:col>
                    <xdr:colOff>914400</xdr:colOff>
                    <xdr:row>234</xdr:row>
                    <xdr:rowOff>257175</xdr:rowOff>
                  </to>
                </anchor>
              </controlPr>
            </control>
          </mc:Choice>
        </mc:AlternateContent>
        <mc:AlternateContent xmlns:mc="http://schemas.openxmlformats.org/markup-compatibility/2006">
          <mc:Choice Requires="x14">
            <control shapeId="1077" r:id="rId25" name="Check Box 53">
              <controlPr defaultSize="0" autoFill="0" autoLine="0" autoPict="0">
                <anchor moveWithCells="1">
                  <from>
                    <xdr:col>3</xdr:col>
                    <xdr:colOff>19050</xdr:colOff>
                    <xdr:row>234</xdr:row>
                    <xdr:rowOff>9525</xdr:rowOff>
                  </from>
                  <to>
                    <xdr:col>4</xdr:col>
                    <xdr:colOff>0</xdr:colOff>
                    <xdr:row>234</xdr:row>
                    <xdr:rowOff>257175</xdr:rowOff>
                  </to>
                </anchor>
              </controlPr>
            </control>
          </mc:Choice>
        </mc:AlternateContent>
        <mc:AlternateContent xmlns:mc="http://schemas.openxmlformats.org/markup-compatibility/2006">
          <mc:Choice Requires="x14">
            <control shapeId="1081" r:id="rId26" name="Check Box 57">
              <controlPr defaultSize="0" autoFill="0" autoLine="0" autoPict="0">
                <anchor moveWithCells="1">
                  <from>
                    <xdr:col>1</xdr:col>
                    <xdr:colOff>19050</xdr:colOff>
                    <xdr:row>248</xdr:row>
                    <xdr:rowOff>9525</xdr:rowOff>
                  </from>
                  <to>
                    <xdr:col>2</xdr:col>
                    <xdr:colOff>0</xdr:colOff>
                    <xdr:row>248</xdr:row>
                    <xdr:rowOff>257175</xdr:rowOff>
                  </to>
                </anchor>
              </controlPr>
            </control>
          </mc:Choice>
        </mc:AlternateContent>
        <mc:AlternateContent xmlns:mc="http://schemas.openxmlformats.org/markup-compatibility/2006">
          <mc:Choice Requires="x14">
            <control shapeId="1082" r:id="rId27" name="Check Box 58">
              <controlPr defaultSize="0" autoFill="0" autoLine="0" autoPict="0">
                <anchor moveWithCells="1">
                  <from>
                    <xdr:col>2</xdr:col>
                    <xdr:colOff>19050</xdr:colOff>
                    <xdr:row>248</xdr:row>
                    <xdr:rowOff>9525</xdr:rowOff>
                  </from>
                  <to>
                    <xdr:col>2</xdr:col>
                    <xdr:colOff>914400</xdr:colOff>
                    <xdr:row>248</xdr:row>
                    <xdr:rowOff>257175</xdr:rowOff>
                  </to>
                </anchor>
              </controlPr>
            </control>
          </mc:Choice>
        </mc:AlternateContent>
        <mc:AlternateContent xmlns:mc="http://schemas.openxmlformats.org/markup-compatibility/2006">
          <mc:Choice Requires="x14">
            <control shapeId="1083" r:id="rId28" name="Check Box 59">
              <controlPr defaultSize="0" autoFill="0" autoLine="0" autoPict="0">
                <anchor moveWithCells="1">
                  <from>
                    <xdr:col>1</xdr:col>
                    <xdr:colOff>19050</xdr:colOff>
                    <xdr:row>249</xdr:row>
                    <xdr:rowOff>9525</xdr:rowOff>
                  </from>
                  <to>
                    <xdr:col>2</xdr:col>
                    <xdr:colOff>0</xdr:colOff>
                    <xdr:row>249</xdr:row>
                    <xdr:rowOff>257175</xdr:rowOff>
                  </to>
                </anchor>
              </controlPr>
            </control>
          </mc:Choice>
        </mc:AlternateContent>
        <mc:AlternateContent xmlns:mc="http://schemas.openxmlformats.org/markup-compatibility/2006">
          <mc:Choice Requires="x14">
            <control shapeId="1085" r:id="rId29" name="Check Box 61">
              <controlPr defaultSize="0" autoFill="0" autoLine="0" autoPict="0">
                <anchor moveWithCells="1">
                  <from>
                    <xdr:col>2</xdr:col>
                    <xdr:colOff>19050</xdr:colOff>
                    <xdr:row>249</xdr:row>
                    <xdr:rowOff>9525</xdr:rowOff>
                  </from>
                  <to>
                    <xdr:col>2</xdr:col>
                    <xdr:colOff>914400</xdr:colOff>
                    <xdr:row>249</xdr:row>
                    <xdr:rowOff>257175</xdr:rowOff>
                  </to>
                </anchor>
              </controlPr>
            </control>
          </mc:Choice>
        </mc:AlternateContent>
        <mc:AlternateContent xmlns:mc="http://schemas.openxmlformats.org/markup-compatibility/2006">
          <mc:Choice Requires="x14">
            <control shapeId="1087" r:id="rId30" name="Check Box 63">
              <controlPr defaultSize="0" autoFill="0" autoLine="0" autoPict="0">
                <anchor moveWithCells="1">
                  <from>
                    <xdr:col>2</xdr:col>
                    <xdr:colOff>19050</xdr:colOff>
                    <xdr:row>261</xdr:row>
                    <xdr:rowOff>9525</xdr:rowOff>
                  </from>
                  <to>
                    <xdr:col>2</xdr:col>
                    <xdr:colOff>914400</xdr:colOff>
                    <xdr:row>261</xdr:row>
                    <xdr:rowOff>257175</xdr:rowOff>
                  </to>
                </anchor>
              </controlPr>
            </control>
          </mc:Choice>
        </mc:AlternateContent>
        <mc:AlternateContent xmlns:mc="http://schemas.openxmlformats.org/markup-compatibility/2006">
          <mc:Choice Requires="x14">
            <control shapeId="1088" r:id="rId31" name="Check Box 64">
              <controlPr defaultSize="0" autoFill="0" autoLine="0" autoPict="0">
                <anchor moveWithCells="1">
                  <from>
                    <xdr:col>1</xdr:col>
                    <xdr:colOff>19050</xdr:colOff>
                    <xdr:row>261</xdr:row>
                    <xdr:rowOff>9525</xdr:rowOff>
                  </from>
                  <to>
                    <xdr:col>2</xdr:col>
                    <xdr:colOff>0</xdr:colOff>
                    <xdr:row>261</xdr:row>
                    <xdr:rowOff>257175</xdr:rowOff>
                  </to>
                </anchor>
              </controlPr>
            </control>
          </mc:Choice>
        </mc:AlternateContent>
        <mc:AlternateContent xmlns:mc="http://schemas.openxmlformats.org/markup-compatibility/2006">
          <mc:Choice Requires="x14">
            <control shapeId="1092" r:id="rId32" name="Check Box 68">
              <controlPr defaultSize="0" autoFill="0" autoLine="0" autoPict="0">
                <anchor moveWithCells="1">
                  <from>
                    <xdr:col>2</xdr:col>
                    <xdr:colOff>19050</xdr:colOff>
                    <xdr:row>343</xdr:row>
                    <xdr:rowOff>9525</xdr:rowOff>
                  </from>
                  <to>
                    <xdr:col>2</xdr:col>
                    <xdr:colOff>914400</xdr:colOff>
                    <xdr:row>343</xdr:row>
                    <xdr:rowOff>257175</xdr:rowOff>
                  </to>
                </anchor>
              </controlPr>
            </control>
          </mc:Choice>
        </mc:AlternateContent>
        <mc:AlternateContent xmlns:mc="http://schemas.openxmlformats.org/markup-compatibility/2006">
          <mc:Choice Requires="x14">
            <control shapeId="1093" r:id="rId33" name="Check Box 69">
              <controlPr defaultSize="0" autoFill="0" autoLine="0" autoPict="0">
                <anchor moveWithCells="1">
                  <from>
                    <xdr:col>1</xdr:col>
                    <xdr:colOff>19050</xdr:colOff>
                    <xdr:row>343</xdr:row>
                    <xdr:rowOff>9525</xdr:rowOff>
                  </from>
                  <to>
                    <xdr:col>2</xdr:col>
                    <xdr:colOff>0</xdr:colOff>
                    <xdr:row>343</xdr:row>
                    <xdr:rowOff>257175</xdr:rowOff>
                  </to>
                </anchor>
              </controlPr>
            </control>
          </mc:Choice>
        </mc:AlternateContent>
        <mc:AlternateContent xmlns:mc="http://schemas.openxmlformats.org/markup-compatibility/2006">
          <mc:Choice Requires="x14">
            <control shapeId="1094" r:id="rId34" name="Check Box 70">
              <controlPr defaultSize="0" autoFill="0" autoLine="0" autoPict="0">
                <anchor moveWithCells="1">
                  <from>
                    <xdr:col>3</xdr:col>
                    <xdr:colOff>19050</xdr:colOff>
                    <xdr:row>343</xdr:row>
                    <xdr:rowOff>9525</xdr:rowOff>
                  </from>
                  <to>
                    <xdr:col>4</xdr:col>
                    <xdr:colOff>0</xdr:colOff>
                    <xdr:row>343</xdr:row>
                    <xdr:rowOff>257175</xdr:rowOff>
                  </to>
                </anchor>
              </controlPr>
            </control>
          </mc:Choice>
        </mc:AlternateContent>
        <mc:AlternateContent xmlns:mc="http://schemas.openxmlformats.org/markup-compatibility/2006">
          <mc:Choice Requires="x14">
            <control shapeId="1095" r:id="rId35" name="Check Box 71">
              <controlPr defaultSize="0" autoFill="0" autoLine="0" autoPict="0">
                <anchor moveWithCells="1">
                  <from>
                    <xdr:col>1</xdr:col>
                    <xdr:colOff>19050</xdr:colOff>
                    <xdr:row>344</xdr:row>
                    <xdr:rowOff>9525</xdr:rowOff>
                  </from>
                  <to>
                    <xdr:col>2</xdr:col>
                    <xdr:colOff>0</xdr:colOff>
                    <xdr:row>344</xdr:row>
                    <xdr:rowOff>257175</xdr:rowOff>
                  </to>
                </anchor>
              </controlPr>
            </control>
          </mc:Choice>
        </mc:AlternateContent>
        <mc:AlternateContent xmlns:mc="http://schemas.openxmlformats.org/markup-compatibility/2006">
          <mc:Choice Requires="x14">
            <control shapeId="1096" r:id="rId36" name="Check Box 72">
              <controlPr defaultSize="0" autoFill="0" autoLine="0" autoPict="0">
                <anchor moveWithCells="1">
                  <from>
                    <xdr:col>2</xdr:col>
                    <xdr:colOff>19050</xdr:colOff>
                    <xdr:row>344</xdr:row>
                    <xdr:rowOff>9525</xdr:rowOff>
                  </from>
                  <to>
                    <xdr:col>2</xdr:col>
                    <xdr:colOff>914400</xdr:colOff>
                    <xdr:row>344</xdr:row>
                    <xdr:rowOff>257175</xdr:rowOff>
                  </to>
                </anchor>
              </controlPr>
            </control>
          </mc:Choice>
        </mc:AlternateContent>
        <mc:AlternateContent xmlns:mc="http://schemas.openxmlformats.org/markup-compatibility/2006">
          <mc:Choice Requires="x14">
            <control shapeId="1097" r:id="rId37" name="Check Box 73">
              <controlPr defaultSize="0" autoFill="0" autoLine="0" autoPict="0">
                <anchor moveWithCells="1">
                  <from>
                    <xdr:col>3</xdr:col>
                    <xdr:colOff>19050</xdr:colOff>
                    <xdr:row>344</xdr:row>
                    <xdr:rowOff>9525</xdr:rowOff>
                  </from>
                  <to>
                    <xdr:col>4</xdr:col>
                    <xdr:colOff>0</xdr:colOff>
                    <xdr:row>344</xdr:row>
                    <xdr:rowOff>257175</xdr:rowOff>
                  </to>
                </anchor>
              </controlPr>
            </control>
          </mc:Choice>
        </mc:AlternateContent>
        <mc:AlternateContent xmlns:mc="http://schemas.openxmlformats.org/markup-compatibility/2006">
          <mc:Choice Requires="x14">
            <control shapeId="1099" r:id="rId38" name="Check Box 75">
              <controlPr defaultSize="0" autoFill="0" autoLine="0" autoPict="0">
                <anchor moveWithCells="1">
                  <from>
                    <xdr:col>1</xdr:col>
                    <xdr:colOff>19050</xdr:colOff>
                    <xdr:row>345</xdr:row>
                    <xdr:rowOff>9525</xdr:rowOff>
                  </from>
                  <to>
                    <xdr:col>2</xdr:col>
                    <xdr:colOff>0</xdr:colOff>
                    <xdr:row>345</xdr:row>
                    <xdr:rowOff>257175</xdr:rowOff>
                  </to>
                </anchor>
              </controlPr>
            </control>
          </mc:Choice>
        </mc:AlternateContent>
        <mc:AlternateContent xmlns:mc="http://schemas.openxmlformats.org/markup-compatibility/2006">
          <mc:Choice Requires="x14">
            <control shapeId="1100" r:id="rId39" name="Check Box 76">
              <controlPr defaultSize="0" autoFill="0" autoLine="0" autoPict="0">
                <anchor moveWithCells="1">
                  <from>
                    <xdr:col>2</xdr:col>
                    <xdr:colOff>19050</xdr:colOff>
                    <xdr:row>345</xdr:row>
                    <xdr:rowOff>9525</xdr:rowOff>
                  </from>
                  <to>
                    <xdr:col>2</xdr:col>
                    <xdr:colOff>914400</xdr:colOff>
                    <xdr:row>345</xdr:row>
                    <xdr:rowOff>257175</xdr:rowOff>
                  </to>
                </anchor>
              </controlPr>
            </control>
          </mc:Choice>
        </mc:AlternateContent>
        <mc:AlternateContent xmlns:mc="http://schemas.openxmlformats.org/markup-compatibility/2006">
          <mc:Choice Requires="x14">
            <control shapeId="1102" r:id="rId40" name="Check Box 78">
              <controlPr defaultSize="0" autoFill="0" autoLine="0" autoPict="0">
                <anchor moveWithCells="1">
                  <from>
                    <xdr:col>3</xdr:col>
                    <xdr:colOff>19050</xdr:colOff>
                    <xdr:row>345</xdr:row>
                    <xdr:rowOff>9525</xdr:rowOff>
                  </from>
                  <to>
                    <xdr:col>4</xdr:col>
                    <xdr:colOff>0</xdr:colOff>
                    <xdr:row>345</xdr:row>
                    <xdr:rowOff>257175</xdr:rowOff>
                  </to>
                </anchor>
              </controlPr>
            </control>
          </mc:Choice>
        </mc:AlternateContent>
        <mc:AlternateContent xmlns:mc="http://schemas.openxmlformats.org/markup-compatibility/2006">
          <mc:Choice Requires="x14">
            <control shapeId="1104" r:id="rId41" name="Check Box 80">
              <controlPr defaultSize="0" autoFill="0" autoLine="0" autoPict="0">
                <anchor moveWithCells="1">
                  <from>
                    <xdr:col>1</xdr:col>
                    <xdr:colOff>19050</xdr:colOff>
                    <xdr:row>346</xdr:row>
                    <xdr:rowOff>9525</xdr:rowOff>
                  </from>
                  <to>
                    <xdr:col>2</xdr:col>
                    <xdr:colOff>0</xdr:colOff>
                    <xdr:row>346</xdr:row>
                    <xdr:rowOff>257175</xdr:rowOff>
                  </to>
                </anchor>
              </controlPr>
            </control>
          </mc:Choice>
        </mc:AlternateContent>
        <mc:AlternateContent xmlns:mc="http://schemas.openxmlformats.org/markup-compatibility/2006">
          <mc:Choice Requires="x14">
            <control shapeId="1106" r:id="rId42" name="Check Box 82">
              <controlPr defaultSize="0" autoFill="0" autoLine="0" autoPict="0">
                <anchor moveWithCells="1">
                  <from>
                    <xdr:col>2</xdr:col>
                    <xdr:colOff>19050</xdr:colOff>
                    <xdr:row>346</xdr:row>
                    <xdr:rowOff>9525</xdr:rowOff>
                  </from>
                  <to>
                    <xdr:col>2</xdr:col>
                    <xdr:colOff>914400</xdr:colOff>
                    <xdr:row>346</xdr:row>
                    <xdr:rowOff>257175</xdr:rowOff>
                  </to>
                </anchor>
              </controlPr>
            </control>
          </mc:Choice>
        </mc:AlternateContent>
        <mc:AlternateContent xmlns:mc="http://schemas.openxmlformats.org/markup-compatibility/2006">
          <mc:Choice Requires="x14">
            <control shapeId="1108" r:id="rId43" name="Check Box 84">
              <controlPr defaultSize="0" autoFill="0" autoLine="0" autoPict="0">
                <anchor moveWithCells="1">
                  <from>
                    <xdr:col>3</xdr:col>
                    <xdr:colOff>19050</xdr:colOff>
                    <xdr:row>346</xdr:row>
                    <xdr:rowOff>9525</xdr:rowOff>
                  </from>
                  <to>
                    <xdr:col>4</xdr:col>
                    <xdr:colOff>0</xdr:colOff>
                    <xdr:row>346</xdr:row>
                    <xdr:rowOff>257175</xdr:rowOff>
                  </to>
                </anchor>
              </controlPr>
            </control>
          </mc:Choice>
        </mc:AlternateContent>
        <mc:AlternateContent xmlns:mc="http://schemas.openxmlformats.org/markup-compatibility/2006">
          <mc:Choice Requires="x14">
            <control shapeId="1109" r:id="rId44" name="Check Box 85">
              <controlPr defaultSize="0" autoFill="0" autoLine="0" autoPict="0">
                <anchor moveWithCells="1">
                  <from>
                    <xdr:col>1</xdr:col>
                    <xdr:colOff>19050</xdr:colOff>
                    <xdr:row>347</xdr:row>
                    <xdr:rowOff>9525</xdr:rowOff>
                  </from>
                  <to>
                    <xdr:col>2</xdr:col>
                    <xdr:colOff>0</xdr:colOff>
                    <xdr:row>347</xdr:row>
                    <xdr:rowOff>257175</xdr:rowOff>
                  </to>
                </anchor>
              </controlPr>
            </control>
          </mc:Choice>
        </mc:AlternateContent>
        <mc:AlternateContent xmlns:mc="http://schemas.openxmlformats.org/markup-compatibility/2006">
          <mc:Choice Requires="x14">
            <control shapeId="1110" r:id="rId45" name="Check Box 86">
              <controlPr defaultSize="0" autoFill="0" autoLine="0" autoPict="0">
                <anchor moveWithCells="1">
                  <from>
                    <xdr:col>2</xdr:col>
                    <xdr:colOff>19050</xdr:colOff>
                    <xdr:row>347</xdr:row>
                    <xdr:rowOff>9525</xdr:rowOff>
                  </from>
                  <to>
                    <xdr:col>2</xdr:col>
                    <xdr:colOff>914400</xdr:colOff>
                    <xdr:row>347</xdr:row>
                    <xdr:rowOff>257175</xdr:rowOff>
                  </to>
                </anchor>
              </controlPr>
            </control>
          </mc:Choice>
        </mc:AlternateContent>
        <mc:AlternateContent xmlns:mc="http://schemas.openxmlformats.org/markup-compatibility/2006">
          <mc:Choice Requires="x14">
            <control shapeId="1112" r:id="rId46" name="Check Box 88">
              <controlPr defaultSize="0" autoFill="0" autoLine="0" autoPict="0">
                <anchor moveWithCells="1">
                  <from>
                    <xdr:col>3</xdr:col>
                    <xdr:colOff>19050</xdr:colOff>
                    <xdr:row>347</xdr:row>
                    <xdr:rowOff>9525</xdr:rowOff>
                  </from>
                  <to>
                    <xdr:col>4</xdr:col>
                    <xdr:colOff>0</xdr:colOff>
                    <xdr:row>347</xdr:row>
                    <xdr:rowOff>257175</xdr:rowOff>
                  </to>
                </anchor>
              </controlPr>
            </control>
          </mc:Choice>
        </mc:AlternateContent>
        <mc:AlternateContent xmlns:mc="http://schemas.openxmlformats.org/markup-compatibility/2006">
          <mc:Choice Requires="x14">
            <control shapeId="1114" r:id="rId47" name="Check Box 90">
              <controlPr defaultSize="0" autoFill="0" autoLine="0" autoPict="0">
                <anchor moveWithCells="1">
                  <from>
                    <xdr:col>1</xdr:col>
                    <xdr:colOff>19050</xdr:colOff>
                    <xdr:row>348</xdr:row>
                    <xdr:rowOff>9525</xdr:rowOff>
                  </from>
                  <to>
                    <xdr:col>2</xdr:col>
                    <xdr:colOff>0</xdr:colOff>
                    <xdr:row>348</xdr:row>
                    <xdr:rowOff>257175</xdr:rowOff>
                  </to>
                </anchor>
              </controlPr>
            </control>
          </mc:Choice>
        </mc:AlternateContent>
        <mc:AlternateContent xmlns:mc="http://schemas.openxmlformats.org/markup-compatibility/2006">
          <mc:Choice Requires="x14">
            <control shapeId="1115" r:id="rId48" name="Check Box 91">
              <controlPr defaultSize="0" autoFill="0" autoLine="0" autoPict="0">
                <anchor moveWithCells="1">
                  <from>
                    <xdr:col>2</xdr:col>
                    <xdr:colOff>19050</xdr:colOff>
                    <xdr:row>348</xdr:row>
                    <xdr:rowOff>9525</xdr:rowOff>
                  </from>
                  <to>
                    <xdr:col>2</xdr:col>
                    <xdr:colOff>914400</xdr:colOff>
                    <xdr:row>348</xdr:row>
                    <xdr:rowOff>257175</xdr:rowOff>
                  </to>
                </anchor>
              </controlPr>
            </control>
          </mc:Choice>
        </mc:AlternateContent>
        <mc:AlternateContent xmlns:mc="http://schemas.openxmlformats.org/markup-compatibility/2006">
          <mc:Choice Requires="x14">
            <control shapeId="1116" r:id="rId49" name="Check Box 92">
              <controlPr defaultSize="0" autoFill="0" autoLine="0" autoPict="0">
                <anchor moveWithCells="1">
                  <from>
                    <xdr:col>3</xdr:col>
                    <xdr:colOff>19050</xdr:colOff>
                    <xdr:row>348</xdr:row>
                    <xdr:rowOff>9525</xdr:rowOff>
                  </from>
                  <to>
                    <xdr:col>4</xdr:col>
                    <xdr:colOff>0</xdr:colOff>
                    <xdr:row>348</xdr:row>
                    <xdr:rowOff>257175</xdr:rowOff>
                  </to>
                </anchor>
              </controlPr>
            </control>
          </mc:Choice>
        </mc:AlternateContent>
        <mc:AlternateContent xmlns:mc="http://schemas.openxmlformats.org/markup-compatibility/2006">
          <mc:Choice Requires="x14">
            <control shapeId="1117" r:id="rId50" name="Check Box 93">
              <controlPr defaultSize="0" autoFill="0" autoLine="0" autoPict="0">
                <anchor moveWithCells="1">
                  <from>
                    <xdr:col>1</xdr:col>
                    <xdr:colOff>19050</xdr:colOff>
                    <xdr:row>349</xdr:row>
                    <xdr:rowOff>9525</xdr:rowOff>
                  </from>
                  <to>
                    <xdr:col>2</xdr:col>
                    <xdr:colOff>0</xdr:colOff>
                    <xdr:row>349</xdr:row>
                    <xdr:rowOff>257175</xdr:rowOff>
                  </to>
                </anchor>
              </controlPr>
            </control>
          </mc:Choice>
        </mc:AlternateContent>
        <mc:AlternateContent xmlns:mc="http://schemas.openxmlformats.org/markup-compatibility/2006">
          <mc:Choice Requires="x14">
            <control shapeId="1119" r:id="rId51" name="Check Box 95">
              <controlPr defaultSize="0" autoFill="0" autoLine="0" autoPict="0">
                <anchor moveWithCells="1">
                  <from>
                    <xdr:col>2</xdr:col>
                    <xdr:colOff>19050</xdr:colOff>
                    <xdr:row>349</xdr:row>
                    <xdr:rowOff>9525</xdr:rowOff>
                  </from>
                  <to>
                    <xdr:col>2</xdr:col>
                    <xdr:colOff>914400</xdr:colOff>
                    <xdr:row>349</xdr:row>
                    <xdr:rowOff>257175</xdr:rowOff>
                  </to>
                </anchor>
              </controlPr>
            </control>
          </mc:Choice>
        </mc:AlternateContent>
        <mc:AlternateContent xmlns:mc="http://schemas.openxmlformats.org/markup-compatibility/2006">
          <mc:Choice Requires="x14">
            <control shapeId="1121" r:id="rId52" name="Check Box 97">
              <controlPr defaultSize="0" autoFill="0" autoLine="0" autoPict="0">
                <anchor moveWithCells="1">
                  <from>
                    <xdr:col>3</xdr:col>
                    <xdr:colOff>19050</xdr:colOff>
                    <xdr:row>349</xdr:row>
                    <xdr:rowOff>9525</xdr:rowOff>
                  </from>
                  <to>
                    <xdr:col>4</xdr:col>
                    <xdr:colOff>0</xdr:colOff>
                    <xdr:row>349</xdr:row>
                    <xdr:rowOff>257175</xdr:rowOff>
                  </to>
                </anchor>
              </controlPr>
            </control>
          </mc:Choice>
        </mc:AlternateContent>
        <mc:AlternateContent xmlns:mc="http://schemas.openxmlformats.org/markup-compatibility/2006">
          <mc:Choice Requires="x14">
            <control shapeId="1122" r:id="rId53" name="Check Box 98">
              <controlPr defaultSize="0" autoFill="0" autoLine="0" autoPict="0">
                <anchor moveWithCells="1">
                  <from>
                    <xdr:col>1</xdr:col>
                    <xdr:colOff>28575</xdr:colOff>
                    <xdr:row>49</xdr:row>
                    <xdr:rowOff>9525</xdr:rowOff>
                  </from>
                  <to>
                    <xdr:col>2</xdr:col>
                    <xdr:colOff>9525</xdr:colOff>
                    <xdr:row>49</xdr:row>
                    <xdr:rowOff>257175</xdr:rowOff>
                  </to>
                </anchor>
              </controlPr>
            </control>
          </mc:Choice>
        </mc:AlternateContent>
        <mc:AlternateContent xmlns:mc="http://schemas.openxmlformats.org/markup-compatibility/2006">
          <mc:Choice Requires="x14">
            <control shapeId="1123" r:id="rId54" name="Check Box 99">
              <controlPr defaultSize="0" autoFill="0" autoLine="0" autoPict="0">
                <anchor moveWithCells="1">
                  <from>
                    <xdr:col>2</xdr:col>
                    <xdr:colOff>28575</xdr:colOff>
                    <xdr:row>49</xdr:row>
                    <xdr:rowOff>9525</xdr:rowOff>
                  </from>
                  <to>
                    <xdr:col>2</xdr:col>
                    <xdr:colOff>923925</xdr:colOff>
                    <xdr:row>49</xdr:row>
                    <xdr:rowOff>257175</xdr:rowOff>
                  </to>
                </anchor>
              </controlPr>
            </control>
          </mc:Choice>
        </mc:AlternateContent>
        <mc:AlternateContent xmlns:mc="http://schemas.openxmlformats.org/markup-compatibility/2006">
          <mc:Choice Requires="x14">
            <control shapeId="1125" r:id="rId55" name="Check Box 101">
              <controlPr defaultSize="0" autoFill="0" autoLine="0" autoPict="0">
                <anchor moveWithCells="1">
                  <from>
                    <xdr:col>3</xdr:col>
                    <xdr:colOff>28575</xdr:colOff>
                    <xdr:row>49</xdr:row>
                    <xdr:rowOff>9525</xdr:rowOff>
                  </from>
                  <to>
                    <xdr:col>4</xdr:col>
                    <xdr:colOff>9525</xdr:colOff>
                    <xdr:row>49</xdr:row>
                    <xdr:rowOff>257175</xdr:rowOff>
                  </to>
                </anchor>
              </controlPr>
            </control>
          </mc:Choice>
        </mc:AlternateContent>
        <mc:AlternateContent xmlns:mc="http://schemas.openxmlformats.org/markup-compatibility/2006">
          <mc:Choice Requires="x14">
            <control shapeId="1250" r:id="rId56" name="Check Box 226">
              <controlPr defaultSize="0" autoFill="0" autoLine="0" autoPict="0" altText="Beslutad av _x000a_Länsstyrelsen">
                <anchor moveWithCells="1">
                  <from>
                    <xdr:col>2</xdr:col>
                    <xdr:colOff>0</xdr:colOff>
                    <xdr:row>2</xdr:row>
                    <xdr:rowOff>38100</xdr:rowOff>
                  </from>
                  <to>
                    <xdr:col>5</xdr:col>
                    <xdr:colOff>0</xdr:colOff>
                    <xdr:row>2</xdr:row>
                    <xdr:rowOff>266700</xdr:rowOff>
                  </to>
                </anchor>
              </controlPr>
            </control>
          </mc:Choice>
        </mc:AlternateContent>
        <mc:AlternateContent xmlns:mc="http://schemas.openxmlformats.org/markup-compatibility/2006">
          <mc:Choice Requires="x14">
            <control shapeId="1251" r:id="rId57" name="Check Box 227">
              <controlPr defaultSize="0" autoFill="0" autoLine="0" autoPict="0" altText="Beslutad av _x000a_Länsstyrelsen">
                <anchor moveWithCells="1">
                  <from>
                    <xdr:col>2</xdr:col>
                    <xdr:colOff>0</xdr:colOff>
                    <xdr:row>2</xdr:row>
                    <xdr:rowOff>276225</xdr:rowOff>
                  </from>
                  <to>
                    <xdr:col>5</xdr:col>
                    <xdr:colOff>0</xdr:colOff>
                    <xdr:row>2</xdr:row>
                    <xdr:rowOff>523875</xdr:rowOff>
                  </to>
                </anchor>
              </controlPr>
            </control>
          </mc:Choice>
        </mc:AlternateContent>
        <mc:AlternateContent xmlns:mc="http://schemas.openxmlformats.org/markup-compatibility/2006">
          <mc:Choice Requires="x14">
            <control shapeId="1252" r:id="rId58" name="Check Box 228">
              <controlPr defaultSize="0" autoFill="0" autoLine="0" autoPict="0" altText="Beslutad av _x000a_Länsstyrelsen">
                <anchor moveWithCells="1">
                  <from>
                    <xdr:col>2</xdr:col>
                    <xdr:colOff>0</xdr:colOff>
                    <xdr:row>2</xdr:row>
                    <xdr:rowOff>552450</xdr:rowOff>
                  </from>
                  <to>
                    <xdr:col>5</xdr:col>
                    <xdr:colOff>0</xdr:colOff>
                    <xdr:row>2</xdr:row>
                    <xdr:rowOff>809625</xdr:rowOff>
                  </to>
                </anchor>
              </controlPr>
            </control>
          </mc:Choice>
        </mc:AlternateContent>
        <mc:AlternateContent xmlns:mc="http://schemas.openxmlformats.org/markup-compatibility/2006">
          <mc:Choice Requires="x14">
            <control shapeId="1259" r:id="rId59" name="Check Box 235">
              <controlPr defaultSize="0" autoFill="0" autoLine="0" autoPict="0" altText="Beslutad av _x000a_Länsstyrelsen">
                <anchor moveWithCells="1">
                  <from>
                    <xdr:col>2</xdr:col>
                    <xdr:colOff>0</xdr:colOff>
                    <xdr:row>3</xdr:row>
                    <xdr:rowOff>38100</xdr:rowOff>
                  </from>
                  <to>
                    <xdr:col>5</xdr:col>
                    <xdr:colOff>0</xdr:colOff>
                    <xdr:row>4</xdr:row>
                    <xdr:rowOff>0</xdr:rowOff>
                  </to>
                </anchor>
              </controlPr>
            </control>
          </mc:Choice>
        </mc:AlternateContent>
        <mc:AlternateContent xmlns:mc="http://schemas.openxmlformats.org/markup-compatibility/2006">
          <mc:Choice Requires="x14">
            <control shapeId="1260" r:id="rId60" name="Check Box 236">
              <controlPr defaultSize="0" autoFill="0" autoLine="0" autoPict="0" altText="Beslutad av _x000a_Länsstyrelsen">
                <anchor moveWithCells="1">
                  <from>
                    <xdr:col>2</xdr:col>
                    <xdr:colOff>9525</xdr:colOff>
                    <xdr:row>4</xdr:row>
                    <xdr:rowOff>0</xdr:rowOff>
                  </from>
                  <to>
                    <xdr:col>3</xdr:col>
                    <xdr:colOff>657225</xdr:colOff>
                    <xdr:row>5</xdr:row>
                    <xdr:rowOff>19050</xdr:rowOff>
                  </to>
                </anchor>
              </controlPr>
            </control>
          </mc:Choice>
        </mc:AlternateContent>
        <mc:AlternateContent xmlns:mc="http://schemas.openxmlformats.org/markup-compatibility/2006">
          <mc:Choice Requires="x14">
            <control shapeId="1274" r:id="rId61" name="Check Box 250">
              <controlPr defaultSize="0" autoFill="0" autoLine="0" autoPict="0" altText="Beslutad av _x000a_Länsstyrelsen">
                <anchor moveWithCells="1">
                  <from>
                    <xdr:col>3</xdr:col>
                    <xdr:colOff>19050</xdr:colOff>
                    <xdr:row>11</xdr:row>
                    <xdr:rowOff>9525</xdr:rowOff>
                  </from>
                  <to>
                    <xdr:col>5</xdr:col>
                    <xdr:colOff>19050</xdr:colOff>
                    <xdr:row>11</xdr:row>
                    <xdr:rowOff>247650</xdr:rowOff>
                  </to>
                </anchor>
              </controlPr>
            </control>
          </mc:Choice>
        </mc:AlternateContent>
        <mc:AlternateContent xmlns:mc="http://schemas.openxmlformats.org/markup-compatibility/2006">
          <mc:Choice Requires="x14">
            <control shapeId="1275" r:id="rId62" name="Check Box 251">
              <controlPr defaultSize="0" autoFill="0" autoLine="0" autoPict="0">
                <anchor moveWithCells="1">
                  <from>
                    <xdr:col>3</xdr:col>
                    <xdr:colOff>19050</xdr:colOff>
                    <xdr:row>11</xdr:row>
                    <xdr:rowOff>295275</xdr:rowOff>
                  </from>
                  <to>
                    <xdr:col>5</xdr:col>
                    <xdr:colOff>19050</xdr:colOff>
                    <xdr:row>11</xdr:row>
                    <xdr:rowOff>533400</xdr:rowOff>
                  </to>
                </anchor>
              </controlPr>
            </control>
          </mc:Choice>
        </mc:AlternateContent>
        <mc:AlternateContent xmlns:mc="http://schemas.openxmlformats.org/markup-compatibility/2006">
          <mc:Choice Requires="x14">
            <control shapeId="1287" r:id="rId63" name="Check Box 263">
              <controlPr locked="0" defaultSize="0" autoFill="0" autoLine="0" autoPict="0">
                <anchor moveWithCells="1">
                  <from>
                    <xdr:col>5</xdr:col>
                    <xdr:colOff>38100</xdr:colOff>
                    <xdr:row>329</xdr:row>
                    <xdr:rowOff>66675</xdr:rowOff>
                  </from>
                  <to>
                    <xdr:col>7</xdr:col>
                    <xdr:colOff>609600</xdr:colOff>
                    <xdr:row>330</xdr:row>
                    <xdr:rowOff>19050</xdr:rowOff>
                  </to>
                </anchor>
              </controlPr>
            </control>
          </mc:Choice>
        </mc:AlternateContent>
        <mc:AlternateContent xmlns:mc="http://schemas.openxmlformats.org/markup-compatibility/2006">
          <mc:Choice Requires="x14">
            <control shapeId="1301" r:id="rId64" name="Nedrullningsbar listruta 277">
              <controlPr defaultSize="0" autoLine="0" autoPict="0">
                <anchor moveWithCells="1">
                  <from>
                    <xdr:col>4</xdr:col>
                    <xdr:colOff>9525</xdr:colOff>
                    <xdr:row>309</xdr:row>
                    <xdr:rowOff>0</xdr:rowOff>
                  </from>
                  <to>
                    <xdr:col>4</xdr:col>
                    <xdr:colOff>904875</xdr:colOff>
                    <xdr:row>310</xdr:row>
                    <xdr:rowOff>0</xdr:rowOff>
                  </to>
                </anchor>
              </controlPr>
            </control>
          </mc:Choice>
        </mc:AlternateContent>
        <mc:AlternateContent xmlns:mc="http://schemas.openxmlformats.org/markup-compatibility/2006">
          <mc:Choice Requires="x14">
            <control shapeId="1302" r:id="rId65" name="Nedrullningsbar listruta 278">
              <controlPr defaultSize="0" autoLine="0" autoPict="0">
                <anchor moveWithCells="1">
                  <from>
                    <xdr:col>4</xdr:col>
                    <xdr:colOff>9525</xdr:colOff>
                    <xdr:row>310</xdr:row>
                    <xdr:rowOff>0</xdr:rowOff>
                  </from>
                  <to>
                    <xdr:col>4</xdr:col>
                    <xdr:colOff>904875</xdr:colOff>
                    <xdr:row>311</xdr:row>
                    <xdr:rowOff>0</xdr:rowOff>
                  </to>
                </anchor>
              </controlPr>
            </control>
          </mc:Choice>
        </mc:AlternateContent>
        <mc:AlternateContent xmlns:mc="http://schemas.openxmlformats.org/markup-compatibility/2006">
          <mc:Choice Requires="x14">
            <control shapeId="1303" r:id="rId66" name="Nedrullningsbar listruta 279">
              <controlPr defaultSize="0" autoLine="0" autoPict="0">
                <anchor moveWithCells="1">
                  <from>
                    <xdr:col>4</xdr:col>
                    <xdr:colOff>9525</xdr:colOff>
                    <xdr:row>311</xdr:row>
                    <xdr:rowOff>0</xdr:rowOff>
                  </from>
                  <to>
                    <xdr:col>4</xdr:col>
                    <xdr:colOff>904875</xdr:colOff>
                    <xdr:row>312</xdr:row>
                    <xdr:rowOff>0</xdr:rowOff>
                  </to>
                </anchor>
              </controlPr>
            </control>
          </mc:Choice>
        </mc:AlternateContent>
        <mc:AlternateContent xmlns:mc="http://schemas.openxmlformats.org/markup-compatibility/2006">
          <mc:Choice Requires="x14">
            <control shapeId="1304" r:id="rId67" name="Nedrullningsbar listruta 280">
              <controlPr defaultSize="0" autoLine="0" autoPict="0">
                <anchor moveWithCells="1">
                  <from>
                    <xdr:col>4</xdr:col>
                    <xdr:colOff>9525</xdr:colOff>
                    <xdr:row>312</xdr:row>
                    <xdr:rowOff>0</xdr:rowOff>
                  </from>
                  <to>
                    <xdr:col>4</xdr:col>
                    <xdr:colOff>904875</xdr:colOff>
                    <xdr:row>313</xdr:row>
                    <xdr:rowOff>0</xdr:rowOff>
                  </to>
                </anchor>
              </controlPr>
            </control>
          </mc:Choice>
        </mc:AlternateContent>
        <mc:AlternateContent xmlns:mc="http://schemas.openxmlformats.org/markup-compatibility/2006">
          <mc:Choice Requires="x14">
            <control shapeId="1305" r:id="rId68" name="Nedrullningsbar listruta 281">
              <controlPr defaultSize="0" autoLine="0" autoPict="0">
                <anchor moveWithCells="1">
                  <from>
                    <xdr:col>4</xdr:col>
                    <xdr:colOff>9525</xdr:colOff>
                    <xdr:row>313</xdr:row>
                    <xdr:rowOff>0</xdr:rowOff>
                  </from>
                  <to>
                    <xdr:col>4</xdr:col>
                    <xdr:colOff>904875</xdr:colOff>
                    <xdr:row>314</xdr:row>
                    <xdr:rowOff>0</xdr:rowOff>
                  </to>
                </anchor>
              </controlPr>
            </control>
          </mc:Choice>
        </mc:AlternateContent>
        <mc:AlternateContent xmlns:mc="http://schemas.openxmlformats.org/markup-compatibility/2006">
          <mc:Choice Requires="x14">
            <control shapeId="1306" r:id="rId69" name="Nedrullningsbar listruta 282">
              <controlPr defaultSize="0" autoLine="0" autoPict="0">
                <anchor moveWithCells="1">
                  <from>
                    <xdr:col>4</xdr:col>
                    <xdr:colOff>9525</xdr:colOff>
                    <xdr:row>314</xdr:row>
                    <xdr:rowOff>0</xdr:rowOff>
                  </from>
                  <to>
                    <xdr:col>4</xdr:col>
                    <xdr:colOff>904875</xdr:colOff>
                    <xdr:row>315</xdr:row>
                    <xdr:rowOff>0</xdr:rowOff>
                  </to>
                </anchor>
              </controlPr>
            </control>
          </mc:Choice>
        </mc:AlternateContent>
        <mc:AlternateContent xmlns:mc="http://schemas.openxmlformats.org/markup-compatibility/2006">
          <mc:Choice Requires="x14">
            <control shapeId="1307" r:id="rId70" name="Nedrullningsbar listruta 283">
              <controlPr defaultSize="0" autoLine="0" autoPict="0">
                <anchor moveWithCells="1">
                  <from>
                    <xdr:col>4</xdr:col>
                    <xdr:colOff>9525</xdr:colOff>
                    <xdr:row>315</xdr:row>
                    <xdr:rowOff>0</xdr:rowOff>
                  </from>
                  <to>
                    <xdr:col>4</xdr:col>
                    <xdr:colOff>904875</xdr:colOff>
                    <xdr:row>316</xdr:row>
                    <xdr:rowOff>0</xdr:rowOff>
                  </to>
                </anchor>
              </controlPr>
            </control>
          </mc:Choice>
        </mc:AlternateContent>
        <mc:AlternateContent xmlns:mc="http://schemas.openxmlformats.org/markup-compatibility/2006">
          <mc:Choice Requires="x14">
            <control shapeId="1308" r:id="rId71" name="Nedrullningsbar listruta 284">
              <controlPr defaultSize="0" autoLine="0" autoPict="0">
                <anchor moveWithCells="1">
                  <from>
                    <xdr:col>4</xdr:col>
                    <xdr:colOff>9525</xdr:colOff>
                    <xdr:row>316</xdr:row>
                    <xdr:rowOff>0</xdr:rowOff>
                  </from>
                  <to>
                    <xdr:col>4</xdr:col>
                    <xdr:colOff>904875</xdr:colOff>
                    <xdr:row>317</xdr:row>
                    <xdr:rowOff>0</xdr:rowOff>
                  </to>
                </anchor>
              </controlPr>
            </control>
          </mc:Choice>
        </mc:AlternateContent>
        <mc:AlternateContent xmlns:mc="http://schemas.openxmlformats.org/markup-compatibility/2006">
          <mc:Choice Requires="x14">
            <control shapeId="1309" r:id="rId72" name="Nedrullningsbar listruta 285">
              <controlPr defaultSize="0" autoLine="0" autoPict="0">
                <anchor moveWithCells="1">
                  <from>
                    <xdr:col>4</xdr:col>
                    <xdr:colOff>9525</xdr:colOff>
                    <xdr:row>317</xdr:row>
                    <xdr:rowOff>0</xdr:rowOff>
                  </from>
                  <to>
                    <xdr:col>4</xdr:col>
                    <xdr:colOff>904875</xdr:colOff>
                    <xdr:row>318</xdr:row>
                    <xdr:rowOff>0</xdr:rowOff>
                  </to>
                </anchor>
              </controlPr>
            </control>
          </mc:Choice>
        </mc:AlternateContent>
        <mc:AlternateContent xmlns:mc="http://schemas.openxmlformats.org/markup-compatibility/2006">
          <mc:Choice Requires="x14">
            <control shapeId="1310" r:id="rId73" name="Nedrullningsbar listruta 286">
              <controlPr defaultSize="0" autoLine="0" autoPict="0">
                <anchor moveWithCells="1">
                  <from>
                    <xdr:col>4</xdr:col>
                    <xdr:colOff>9525</xdr:colOff>
                    <xdr:row>318</xdr:row>
                    <xdr:rowOff>0</xdr:rowOff>
                  </from>
                  <to>
                    <xdr:col>4</xdr:col>
                    <xdr:colOff>904875</xdr:colOff>
                    <xdr:row>319</xdr:row>
                    <xdr:rowOff>0</xdr:rowOff>
                  </to>
                </anchor>
              </controlPr>
            </control>
          </mc:Choice>
        </mc:AlternateContent>
        <mc:AlternateContent xmlns:mc="http://schemas.openxmlformats.org/markup-compatibility/2006">
          <mc:Choice Requires="x14">
            <control shapeId="1311" r:id="rId74" name="Nedrullningsbar listruta 287">
              <controlPr defaultSize="0" autoLine="0" autoPict="0">
                <anchor moveWithCells="1">
                  <from>
                    <xdr:col>4</xdr:col>
                    <xdr:colOff>9525</xdr:colOff>
                    <xdr:row>319</xdr:row>
                    <xdr:rowOff>0</xdr:rowOff>
                  </from>
                  <to>
                    <xdr:col>4</xdr:col>
                    <xdr:colOff>904875</xdr:colOff>
                    <xdr:row>320</xdr:row>
                    <xdr:rowOff>0</xdr:rowOff>
                  </to>
                </anchor>
              </controlPr>
            </control>
          </mc:Choice>
        </mc:AlternateContent>
        <mc:AlternateContent xmlns:mc="http://schemas.openxmlformats.org/markup-compatibility/2006">
          <mc:Choice Requires="x14">
            <control shapeId="1312" r:id="rId75" name="Nedrullningsbar listruta 288">
              <controlPr defaultSize="0" autoLine="0" autoPict="0">
                <anchor moveWithCells="1">
                  <from>
                    <xdr:col>4</xdr:col>
                    <xdr:colOff>9525</xdr:colOff>
                    <xdr:row>320</xdr:row>
                    <xdr:rowOff>0</xdr:rowOff>
                  </from>
                  <to>
                    <xdr:col>4</xdr:col>
                    <xdr:colOff>904875</xdr:colOff>
                    <xdr:row>321</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disablePrompts="1" xWindow="602" yWindow="578" count="2">
        <x14:dataValidation type="list" showInputMessage="1" showErrorMessage="1" promptTitle="Välj mått på betestryck" prompt="Välj det alternativ som bäst överensstämmer" xr:uid="{00000000-0002-0000-0300-000000000000}">
          <x14:formula1>
            <xm:f>Faktorer!$F$3:$F$7</xm:f>
          </x14:formula1>
          <xm:sqref>D251:F251</xm:sqref>
        </x14:dataValidation>
        <x14:dataValidation type="list" showInputMessage="1" showErrorMessage="1" promptTitle="Välj styrparameter" prompt="Välj det alternativ som gäller Ert ÄFO" xr:uid="{00000000-0002-0000-0300-000001000000}">
          <x14:formula1>
            <xm:f>Faktorer!$B$11:$B$17</xm:f>
          </x14:formula1>
          <xm:sqref>C11:E11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12"/>
  <dimension ref="B1:J168"/>
  <sheetViews>
    <sheetView topLeftCell="D142" workbookViewId="0">
      <selection activeCell="G13" sqref="G13"/>
    </sheetView>
  </sheetViews>
  <sheetFormatPr defaultRowHeight="15" x14ac:dyDescent="0.25"/>
  <cols>
    <col min="1" max="1" width="9.140625" customWidth="1"/>
    <col min="2" max="2" width="20" customWidth="1"/>
    <col min="3" max="3" width="25.28515625" customWidth="1"/>
    <col min="4" max="5" width="42.28515625" customWidth="1"/>
    <col min="6" max="7" width="15.42578125" customWidth="1"/>
    <col min="8" max="8" width="57.85546875" bestFit="1" customWidth="1"/>
    <col min="9" max="9" width="15.42578125" customWidth="1"/>
  </cols>
  <sheetData>
    <row r="1" spans="2:6" x14ac:dyDescent="0.25">
      <c r="B1" t="s">
        <v>484</v>
      </c>
    </row>
    <row r="2" spans="2:6" x14ac:dyDescent="0.25">
      <c r="F2" t="s">
        <v>485</v>
      </c>
    </row>
    <row r="3" spans="2:6" x14ac:dyDescent="0.25">
      <c r="B3" t="s">
        <v>371</v>
      </c>
      <c r="F3" t="s">
        <v>371</v>
      </c>
    </row>
    <row r="4" spans="2:6" x14ac:dyDescent="0.25">
      <c r="B4" t="s">
        <v>344</v>
      </c>
    </row>
    <row r="5" spans="2:6" x14ac:dyDescent="0.25">
      <c r="B5" t="s">
        <v>136</v>
      </c>
      <c r="F5" t="s">
        <v>486</v>
      </c>
    </row>
    <row r="6" spans="2:6" x14ac:dyDescent="0.25">
      <c r="B6" t="s">
        <v>343</v>
      </c>
      <c r="F6" t="s">
        <v>207</v>
      </c>
    </row>
    <row r="7" spans="2:6" x14ac:dyDescent="0.25">
      <c r="B7" t="s">
        <v>392</v>
      </c>
      <c r="F7" t="s">
        <v>487</v>
      </c>
    </row>
    <row r="10" spans="2:6" x14ac:dyDescent="0.25">
      <c r="B10" s="149" t="s">
        <v>488</v>
      </c>
    </row>
    <row r="11" spans="2:6" x14ac:dyDescent="0.25">
      <c r="B11" t="s">
        <v>371</v>
      </c>
    </row>
    <row r="13" spans="2:6" x14ac:dyDescent="0.25">
      <c r="B13" t="s">
        <v>489</v>
      </c>
    </row>
    <row r="14" spans="2:6" x14ac:dyDescent="0.25">
      <c r="B14" t="s">
        <v>490</v>
      </c>
    </row>
    <row r="15" spans="2:6" x14ac:dyDescent="0.25">
      <c r="B15" t="s">
        <v>491</v>
      </c>
    </row>
    <row r="16" spans="2:6" x14ac:dyDescent="0.25">
      <c r="B16" t="s">
        <v>492</v>
      </c>
    </row>
    <row r="17" spans="2:10" x14ac:dyDescent="0.25">
      <c r="B17" t="s">
        <v>493</v>
      </c>
    </row>
    <row r="19" spans="2:10" x14ac:dyDescent="0.25">
      <c r="B19" s="149" t="s">
        <v>494</v>
      </c>
      <c r="C19" t="s">
        <v>91</v>
      </c>
      <c r="D19" t="s">
        <v>495</v>
      </c>
      <c r="F19" t="s">
        <v>496</v>
      </c>
      <c r="G19" t="s">
        <v>497</v>
      </c>
      <c r="H19" t="s">
        <v>498</v>
      </c>
      <c r="I19" t="s">
        <v>499</v>
      </c>
      <c r="J19" t="s">
        <v>500</v>
      </c>
    </row>
    <row r="20" spans="2:10" x14ac:dyDescent="0.25">
      <c r="B20" t="s">
        <v>501</v>
      </c>
      <c r="C20" t="s">
        <v>502</v>
      </c>
      <c r="D20" s="96">
        <v>1</v>
      </c>
      <c r="F20">
        <v>1</v>
      </c>
      <c r="G20">
        <v>1</v>
      </c>
      <c r="H20">
        <v>1</v>
      </c>
      <c r="I20" t="s">
        <v>503</v>
      </c>
      <c r="J20" t="s">
        <v>504</v>
      </c>
    </row>
    <row r="21" spans="2:10" x14ac:dyDescent="0.25">
      <c r="B21" t="s">
        <v>505</v>
      </c>
      <c r="C21" t="s">
        <v>506</v>
      </c>
      <c r="D21" s="96">
        <v>3</v>
      </c>
      <c r="F21">
        <v>1</v>
      </c>
      <c r="G21">
        <v>2</v>
      </c>
      <c r="H21">
        <v>2</v>
      </c>
      <c r="I21" t="s">
        <v>507</v>
      </c>
      <c r="J21" t="s">
        <v>508</v>
      </c>
    </row>
    <row r="22" spans="2:10" x14ac:dyDescent="0.25">
      <c r="B22" t="s">
        <v>509</v>
      </c>
      <c r="C22" t="s">
        <v>510</v>
      </c>
      <c r="D22" s="96">
        <v>4</v>
      </c>
      <c r="F22">
        <v>1</v>
      </c>
      <c r="G22">
        <v>3</v>
      </c>
      <c r="H22">
        <v>3</v>
      </c>
      <c r="I22" t="s">
        <v>511</v>
      </c>
      <c r="J22" t="s">
        <v>512</v>
      </c>
    </row>
    <row r="23" spans="2:10" x14ac:dyDescent="0.25">
      <c r="B23" t="s">
        <v>513</v>
      </c>
      <c r="C23" t="s">
        <v>514</v>
      </c>
      <c r="D23" s="96">
        <v>5</v>
      </c>
      <c r="F23">
        <v>1</v>
      </c>
      <c r="G23">
        <v>4</v>
      </c>
      <c r="H23">
        <v>4</v>
      </c>
      <c r="I23" t="s">
        <v>515</v>
      </c>
      <c r="J23" t="s">
        <v>516</v>
      </c>
    </row>
    <row r="24" spans="2:10" x14ac:dyDescent="0.25">
      <c r="B24" t="s">
        <v>517</v>
      </c>
      <c r="C24" t="s">
        <v>518</v>
      </c>
      <c r="D24" s="96">
        <v>6</v>
      </c>
      <c r="F24">
        <v>1</v>
      </c>
      <c r="G24">
        <v>5</v>
      </c>
      <c r="H24">
        <v>5</v>
      </c>
      <c r="I24" t="s">
        <v>519</v>
      </c>
      <c r="J24" t="s">
        <v>520</v>
      </c>
    </row>
    <row r="25" spans="2:10" x14ac:dyDescent="0.25">
      <c r="B25" t="s">
        <v>521</v>
      </c>
      <c r="C25" t="s">
        <v>522</v>
      </c>
      <c r="D25" s="96">
        <v>7</v>
      </c>
      <c r="F25">
        <v>1</v>
      </c>
      <c r="G25">
        <v>6</v>
      </c>
      <c r="H25">
        <v>6</v>
      </c>
      <c r="I25" t="s">
        <v>523</v>
      </c>
      <c r="J25" t="s">
        <v>524</v>
      </c>
    </row>
    <row r="26" spans="2:10" x14ac:dyDescent="0.25">
      <c r="B26" t="s">
        <v>525</v>
      </c>
      <c r="C26" t="s">
        <v>526</v>
      </c>
      <c r="D26" s="96">
        <v>8</v>
      </c>
      <c r="F26">
        <v>1</v>
      </c>
      <c r="G26">
        <v>7</v>
      </c>
      <c r="H26">
        <v>7</v>
      </c>
      <c r="I26" t="s">
        <v>527</v>
      </c>
      <c r="J26" t="s">
        <v>528</v>
      </c>
    </row>
    <row r="27" spans="2:10" x14ac:dyDescent="0.25">
      <c r="B27" t="s">
        <v>529</v>
      </c>
      <c r="C27" t="s">
        <v>530</v>
      </c>
      <c r="D27" s="96">
        <v>10</v>
      </c>
      <c r="F27">
        <v>1</v>
      </c>
      <c r="G27">
        <v>8</v>
      </c>
      <c r="H27">
        <v>8</v>
      </c>
      <c r="I27" t="s">
        <v>531</v>
      </c>
      <c r="J27" t="s">
        <v>532</v>
      </c>
    </row>
    <row r="28" spans="2:10" x14ac:dyDescent="0.25">
      <c r="B28" t="s">
        <v>533</v>
      </c>
      <c r="C28" t="s">
        <v>534</v>
      </c>
      <c r="D28" s="96">
        <v>12</v>
      </c>
      <c r="F28">
        <v>3</v>
      </c>
      <c r="G28">
        <v>9</v>
      </c>
      <c r="H28">
        <v>1</v>
      </c>
      <c r="I28" t="s">
        <v>535</v>
      </c>
      <c r="J28" t="s">
        <v>536</v>
      </c>
    </row>
    <row r="29" spans="2:10" x14ac:dyDescent="0.25">
      <c r="B29" t="s">
        <v>537</v>
      </c>
      <c r="C29" t="s">
        <v>538</v>
      </c>
      <c r="D29" s="96">
        <v>13</v>
      </c>
      <c r="F29">
        <v>3</v>
      </c>
      <c r="G29">
        <v>10</v>
      </c>
      <c r="H29">
        <v>2</v>
      </c>
      <c r="I29" t="s">
        <v>539</v>
      </c>
      <c r="J29" t="s">
        <v>540</v>
      </c>
    </row>
    <row r="30" spans="2:10" x14ac:dyDescent="0.25">
      <c r="B30" t="s">
        <v>541</v>
      </c>
      <c r="C30" t="s">
        <v>542</v>
      </c>
      <c r="D30" s="96">
        <v>14</v>
      </c>
      <c r="F30">
        <v>3</v>
      </c>
      <c r="G30">
        <v>11</v>
      </c>
      <c r="H30">
        <v>3</v>
      </c>
      <c r="I30" t="s">
        <v>543</v>
      </c>
      <c r="J30" t="s">
        <v>544</v>
      </c>
    </row>
    <row r="31" spans="2:10" x14ac:dyDescent="0.25">
      <c r="B31" t="s">
        <v>545</v>
      </c>
      <c r="C31" t="s">
        <v>546</v>
      </c>
      <c r="D31" s="96">
        <v>17</v>
      </c>
      <c r="F31">
        <v>3</v>
      </c>
      <c r="G31">
        <v>12</v>
      </c>
      <c r="H31">
        <v>4</v>
      </c>
      <c r="I31" t="s">
        <v>547</v>
      </c>
      <c r="J31" t="s">
        <v>548</v>
      </c>
    </row>
    <row r="32" spans="2:10" x14ac:dyDescent="0.25">
      <c r="B32" t="s">
        <v>549</v>
      </c>
      <c r="C32" t="s">
        <v>550</v>
      </c>
      <c r="D32" s="96">
        <v>18</v>
      </c>
      <c r="F32">
        <v>3</v>
      </c>
      <c r="G32">
        <v>13</v>
      </c>
      <c r="H32">
        <v>5</v>
      </c>
      <c r="I32" t="s">
        <v>551</v>
      </c>
      <c r="J32" t="s">
        <v>552</v>
      </c>
    </row>
    <row r="33" spans="2:10" x14ac:dyDescent="0.25">
      <c r="B33" t="s">
        <v>553</v>
      </c>
      <c r="C33" t="s">
        <v>554</v>
      </c>
      <c r="D33" s="96">
        <v>19</v>
      </c>
      <c r="F33">
        <v>3</v>
      </c>
      <c r="G33">
        <v>14</v>
      </c>
      <c r="H33">
        <v>6</v>
      </c>
      <c r="I33" t="s">
        <v>555</v>
      </c>
      <c r="J33" t="s">
        <v>556</v>
      </c>
    </row>
    <row r="34" spans="2:10" x14ac:dyDescent="0.25">
      <c r="B34" t="s">
        <v>557</v>
      </c>
      <c r="C34" t="s">
        <v>558</v>
      </c>
      <c r="D34" s="96">
        <v>20</v>
      </c>
      <c r="F34">
        <v>4</v>
      </c>
      <c r="G34">
        <v>15</v>
      </c>
      <c r="H34">
        <v>1</v>
      </c>
      <c r="I34" t="s">
        <v>559</v>
      </c>
      <c r="J34" t="s">
        <v>560</v>
      </c>
    </row>
    <row r="35" spans="2:10" x14ac:dyDescent="0.25">
      <c r="B35" t="s">
        <v>561</v>
      </c>
      <c r="C35" t="s">
        <v>562</v>
      </c>
      <c r="D35" s="96">
        <v>21</v>
      </c>
      <c r="F35">
        <v>4</v>
      </c>
      <c r="G35">
        <v>16</v>
      </c>
      <c r="H35">
        <v>2</v>
      </c>
      <c r="I35" t="s">
        <v>563</v>
      </c>
      <c r="J35" t="s">
        <v>564</v>
      </c>
    </row>
    <row r="36" spans="2:10" x14ac:dyDescent="0.25">
      <c r="B36" t="s">
        <v>565</v>
      </c>
      <c r="C36" t="s">
        <v>566</v>
      </c>
      <c r="D36" s="96">
        <v>22</v>
      </c>
      <c r="F36">
        <v>4</v>
      </c>
      <c r="H36">
        <v>3</v>
      </c>
      <c r="I36" t="s">
        <v>567</v>
      </c>
      <c r="J36" t="s">
        <v>568</v>
      </c>
    </row>
    <row r="37" spans="2:10" x14ac:dyDescent="0.25">
      <c r="B37" t="s">
        <v>569</v>
      </c>
      <c r="C37" t="s">
        <v>570</v>
      </c>
      <c r="D37" s="96">
        <v>23</v>
      </c>
      <c r="F37">
        <v>4</v>
      </c>
      <c r="H37">
        <v>4</v>
      </c>
      <c r="I37" t="s">
        <v>571</v>
      </c>
      <c r="J37" t="s">
        <v>572</v>
      </c>
    </row>
    <row r="38" spans="2:10" x14ac:dyDescent="0.25">
      <c r="B38" t="s">
        <v>573</v>
      </c>
      <c r="C38" t="s">
        <v>574</v>
      </c>
      <c r="D38" s="96">
        <v>24</v>
      </c>
      <c r="F38">
        <v>4</v>
      </c>
      <c r="H38">
        <v>5</v>
      </c>
      <c r="I38" t="s">
        <v>575</v>
      </c>
      <c r="J38" t="s">
        <v>576</v>
      </c>
    </row>
    <row r="39" spans="2:10" x14ac:dyDescent="0.25">
      <c r="B39" t="s">
        <v>577</v>
      </c>
      <c r="C39" t="s">
        <v>578</v>
      </c>
      <c r="D39" s="96">
        <v>25</v>
      </c>
      <c r="F39">
        <v>4</v>
      </c>
      <c r="H39">
        <v>6</v>
      </c>
      <c r="I39" t="s">
        <v>579</v>
      </c>
      <c r="J39" t="s">
        <v>580</v>
      </c>
    </row>
    <row r="40" spans="2:10" x14ac:dyDescent="0.25">
      <c r="F40">
        <v>4</v>
      </c>
      <c r="H40">
        <v>7</v>
      </c>
      <c r="I40" t="s">
        <v>581</v>
      </c>
      <c r="J40" t="s">
        <v>582</v>
      </c>
    </row>
    <row r="41" spans="2:10" x14ac:dyDescent="0.25">
      <c r="B41" t="s">
        <v>583</v>
      </c>
      <c r="F41">
        <v>4</v>
      </c>
      <c r="H41">
        <v>8</v>
      </c>
      <c r="I41" t="s">
        <v>584</v>
      </c>
      <c r="J41" t="s">
        <v>585</v>
      </c>
    </row>
    <row r="42" spans="2:10" x14ac:dyDescent="0.25">
      <c r="B42" t="s">
        <v>135</v>
      </c>
      <c r="F42">
        <v>4</v>
      </c>
      <c r="H42">
        <v>9</v>
      </c>
      <c r="I42" t="s">
        <v>586</v>
      </c>
      <c r="J42" t="s">
        <v>587</v>
      </c>
    </row>
    <row r="43" spans="2:10" x14ac:dyDescent="0.25">
      <c r="B43" t="s">
        <v>136</v>
      </c>
      <c r="F43">
        <v>5</v>
      </c>
      <c r="H43">
        <v>1</v>
      </c>
      <c r="I43" t="s">
        <v>588</v>
      </c>
      <c r="J43" t="s">
        <v>589</v>
      </c>
    </row>
    <row r="44" spans="2:10" x14ac:dyDescent="0.25">
      <c r="B44" t="s">
        <v>137</v>
      </c>
      <c r="F44">
        <v>5</v>
      </c>
      <c r="H44">
        <v>2</v>
      </c>
      <c r="I44" t="s">
        <v>590</v>
      </c>
      <c r="J44" t="s">
        <v>591</v>
      </c>
    </row>
    <row r="45" spans="2:10" x14ac:dyDescent="0.25">
      <c r="F45">
        <v>5</v>
      </c>
      <c r="H45">
        <v>3</v>
      </c>
      <c r="I45" t="s">
        <v>592</v>
      </c>
      <c r="J45" t="s">
        <v>593</v>
      </c>
    </row>
    <row r="46" spans="2:10" x14ac:dyDescent="0.25">
      <c r="F46">
        <v>5</v>
      </c>
      <c r="H46">
        <v>4</v>
      </c>
      <c r="I46" t="s">
        <v>594</v>
      </c>
      <c r="J46" t="s">
        <v>595</v>
      </c>
    </row>
    <row r="47" spans="2:10" x14ac:dyDescent="0.25">
      <c r="F47">
        <v>5</v>
      </c>
      <c r="H47">
        <v>5</v>
      </c>
      <c r="I47" t="s">
        <v>596</v>
      </c>
      <c r="J47" t="s">
        <v>597</v>
      </c>
    </row>
    <row r="48" spans="2:10" x14ac:dyDescent="0.25">
      <c r="F48">
        <v>5</v>
      </c>
      <c r="H48">
        <v>6</v>
      </c>
      <c r="I48" t="s">
        <v>598</v>
      </c>
      <c r="J48" t="s">
        <v>599</v>
      </c>
    </row>
    <row r="49" spans="6:10" x14ac:dyDescent="0.25">
      <c r="F49">
        <v>5</v>
      </c>
      <c r="H49">
        <v>7</v>
      </c>
      <c r="I49" t="s">
        <v>600</v>
      </c>
      <c r="J49" t="s">
        <v>601</v>
      </c>
    </row>
    <row r="50" spans="6:10" x14ac:dyDescent="0.25">
      <c r="F50">
        <v>5</v>
      </c>
      <c r="H50">
        <v>8</v>
      </c>
      <c r="I50" t="s">
        <v>602</v>
      </c>
      <c r="J50" t="s">
        <v>603</v>
      </c>
    </row>
    <row r="51" spans="6:10" x14ac:dyDescent="0.25">
      <c r="F51">
        <v>6</v>
      </c>
      <c r="H51">
        <v>1</v>
      </c>
      <c r="I51" t="s">
        <v>604</v>
      </c>
      <c r="J51" t="s">
        <v>605</v>
      </c>
    </row>
    <row r="52" spans="6:10" x14ac:dyDescent="0.25">
      <c r="F52">
        <v>6</v>
      </c>
      <c r="H52">
        <v>2</v>
      </c>
      <c r="I52" t="s">
        <v>606</v>
      </c>
      <c r="J52" t="s">
        <v>607</v>
      </c>
    </row>
    <row r="53" spans="6:10" x14ac:dyDescent="0.25">
      <c r="F53">
        <v>6</v>
      </c>
      <c r="H53">
        <v>3</v>
      </c>
      <c r="I53" t="s">
        <v>608</v>
      </c>
      <c r="J53" t="s">
        <v>609</v>
      </c>
    </row>
    <row r="54" spans="6:10" x14ac:dyDescent="0.25">
      <c r="F54">
        <v>6</v>
      </c>
      <c r="H54">
        <v>4</v>
      </c>
      <c r="I54" t="s">
        <v>610</v>
      </c>
      <c r="J54" t="s">
        <v>611</v>
      </c>
    </row>
    <row r="55" spans="6:10" x14ac:dyDescent="0.25">
      <c r="F55">
        <v>6</v>
      </c>
      <c r="H55">
        <v>5</v>
      </c>
      <c r="I55" t="s">
        <v>612</v>
      </c>
      <c r="J55" t="s">
        <v>613</v>
      </c>
    </row>
    <row r="56" spans="6:10" x14ac:dyDescent="0.25">
      <c r="F56">
        <v>6</v>
      </c>
      <c r="H56">
        <v>6</v>
      </c>
      <c r="I56" t="s">
        <v>614</v>
      </c>
      <c r="J56" t="s">
        <v>615</v>
      </c>
    </row>
    <row r="57" spans="6:10" x14ac:dyDescent="0.25">
      <c r="F57">
        <v>6</v>
      </c>
      <c r="H57">
        <v>7</v>
      </c>
      <c r="I57" t="s">
        <v>616</v>
      </c>
      <c r="J57" t="s">
        <v>617</v>
      </c>
    </row>
    <row r="58" spans="6:10" x14ac:dyDescent="0.25">
      <c r="F58">
        <v>6</v>
      </c>
      <c r="H58">
        <v>8</v>
      </c>
      <c r="I58" t="s">
        <v>618</v>
      </c>
      <c r="J58" t="s">
        <v>619</v>
      </c>
    </row>
    <row r="59" spans="6:10" x14ac:dyDescent="0.25">
      <c r="F59">
        <v>7</v>
      </c>
      <c r="H59">
        <v>1</v>
      </c>
      <c r="I59">
        <v>1</v>
      </c>
      <c r="J59" t="s">
        <v>620</v>
      </c>
    </row>
    <row r="60" spans="6:10" x14ac:dyDescent="0.25">
      <c r="F60">
        <v>7</v>
      </c>
      <c r="H60">
        <v>2</v>
      </c>
      <c r="I60">
        <v>2</v>
      </c>
      <c r="J60" t="s">
        <v>621</v>
      </c>
    </row>
    <row r="61" spans="6:10" x14ac:dyDescent="0.25">
      <c r="F61">
        <v>7</v>
      </c>
      <c r="H61">
        <v>3</v>
      </c>
      <c r="I61">
        <v>3</v>
      </c>
      <c r="J61" t="s">
        <v>622</v>
      </c>
    </row>
    <row r="62" spans="6:10" x14ac:dyDescent="0.25">
      <c r="F62">
        <v>7</v>
      </c>
      <c r="H62">
        <v>4</v>
      </c>
      <c r="I62">
        <v>4</v>
      </c>
      <c r="J62" t="s">
        <v>623</v>
      </c>
    </row>
    <row r="63" spans="6:10" x14ac:dyDescent="0.25">
      <c r="F63">
        <v>7</v>
      </c>
      <c r="H63">
        <v>5</v>
      </c>
      <c r="I63">
        <v>5</v>
      </c>
      <c r="J63" t="s">
        <v>624</v>
      </c>
    </row>
    <row r="64" spans="6:10" x14ac:dyDescent="0.25">
      <c r="F64">
        <v>7</v>
      </c>
      <c r="H64">
        <v>6</v>
      </c>
      <c r="I64">
        <v>6</v>
      </c>
      <c r="J64" t="s">
        <v>625</v>
      </c>
    </row>
    <row r="65" spans="6:10" x14ac:dyDescent="0.25">
      <c r="F65">
        <v>7</v>
      </c>
      <c r="H65">
        <v>7</v>
      </c>
      <c r="I65">
        <v>7</v>
      </c>
      <c r="J65" t="s">
        <v>626</v>
      </c>
    </row>
    <row r="66" spans="6:10" x14ac:dyDescent="0.25">
      <c r="F66">
        <v>8</v>
      </c>
      <c r="H66">
        <v>1</v>
      </c>
      <c r="I66" t="s">
        <v>627</v>
      </c>
      <c r="J66" t="s">
        <v>628</v>
      </c>
    </row>
    <row r="67" spans="6:10" x14ac:dyDescent="0.25">
      <c r="F67">
        <v>8</v>
      </c>
      <c r="H67">
        <v>2</v>
      </c>
      <c r="I67" t="s">
        <v>629</v>
      </c>
      <c r="J67" t="s">
        <v>630</v>
      </c>
    </row>
    <row r="68" spans="6:10" x14ac:dyDescent="0.25">
      <c r="F68">
        <v>8</v>
      </c>
      <c r="H68">
        <v>3</v>
      </c>
      <c r="I68" t="s">
        <v>631</v>
      </c>
      <c r="J68" t="s">
        <v>632</v>
      </c>
    </row>
    <row r="69" spans="6:10" x14ac:dyDescent="0.25">
      <c r="F69">
        <v>8</v>
      </c>
      <c r="H69">
        <v>4</v>
      </c>
      <c r="I69" t="s">
        <v>633</v>
      </c>
      <c r="J69" t="s">
        <v>634</v>
      </c>
    </row>
    <row r="70" spans="6:10" x14ac:dyDescent="0.25">
      <c r="F70">
        <v>8</v>
      </c>
      <c r="H70">
        <v>5</v>
      </c>
      <c r="I70" t="s">
        <v>635</v>
      </c>
      <c r="J70" t="s">
        <v>636</v>
      </c>
    </row>
    <row r="71" spans="6:10" x14ac:dyDescent="0.25">
      <c r="F71">
        <v>8</v>
      </c>
      <c r="H71">
        <v>6</v>
      </c>
      <c r="I71" t="s">
        <v>637</v>
      </c>
      <c r="J71" t="s">
        <v>638</v>
      </c>
    </row>
    <row r="72" spans="6:10" x14ac:dyDescent="0.25">
      <c r="F72">
        <v>8</v>
      </c>
      <c r="H72">
        <v>7</v>
      </c>
      <c r="I72" t="s">
        <v>639</v>
      </c>
      <c r="J72" t="s">
        <v>640</v>
      </c>
    </row>
    <row r="73" spans="6:10" x14ac:dyDescent="0.25">
      <c r="F73">
        <v>8</v>
      </c>
      <c r="H73">
        <v>8</v>
      </c>
      <c r="I73" t="s">
        <v>641</v>
      </c>
      <c r="J73" t="s">
        <v>642</v>
      </c>
    </row>
    <row r="74" spans="6:10" x14ac:dyDescent="0.25">
      <c r="F74">
        <v>8</v>
      </c>
      <c r="H74">
        <v>9</v>
      </c>
      <c r="I74" t="s">
        <v>643</v>
      </c>
      <c r="J74" t="s">
        <v>644</v>
      </c>
    </row>
    <row r="75" spans="6:10" x14ac:dyDescent="0.25">
      <c r="F75">
        <v>8</v>
      </c>
      <c r="H75">
        <v>10</v>
      </c>
      <c r="I75" t="s">
        <v>645</v>
      </c>
      <c r="J75" t="s">
        <v>646</v>
      </c>
    </row>
    <row r="76" spans="6:10" x14ac:dyDescent="0.25">
      <c r="F76">
        <v>10</v>
      </c>
      <c r="H76">
        <v>1</v>
      </c>
      <c r="I76" t="s">
        <v>647</v>
      </c>
      <c r="J76" t="s">
        <v>648</v>
      </c>
    </row>
    <row r="77" spans="6:10" x14ac:dyDescent="0.25">
      <c r="F77">
        <v>10</v>
      </c>
      <c r="H77">
        <v>2</v>
      </c>
      <c r="I77" t="s">
        <v>649</v>
      </c>
      <c r="J77" t="s">
        <v>650</v>
      </c>
    </row>
    <row r="78" spans="6:10" x14ac:dyDescent="0.25">
      <c r="F78">
        <v>10</v>
      </c>
      <c r="H78">
        <v>3</v>
      </c>
      <c r="I78" t="s">
        <v>651</v>
      </c>
      <c r="J78" t="s">
        <v>652</v>
      </c>
    </row>
    <row r="79" spans="6:10" x14ac:dyDescent="0.25">
      <c r="F79">
        <v>12</v>
      </c>
      <c r="H79">
        <v>1</v>
      </c>
      <c r="I79" t="s">
        <v>653</v>
      </c>
      <c r="J79" t="s">
        <v>654</v>
      </c>
    </row>
    <row r="80" spans="6:10" x14ac:dyDescent="0.25">
      <c r="F80">
        <v>12</v>
      </c>
      <c r="H80">
        <v>2</v>
      </c>
      <c r="I80" t="s">
        <v>655</v>
      </c>
      <c r="J80" t="s">
        <v>656</v>
      </c>
    </row>
    <row r="81" spans="6:10" x14ac:dyDescent="0.25">
      <c r="F81">
        <v>12</v>
      </c>
      <c r="H81">
        <v>3</v>
      </c>
      <c r="I81" t="s">
        <v>657</v>
      </c>
      <c r="J81" t="s">
        <v>658</v>
      </c>
    </row>
    <row r="82" spans="6:10" x14ac:dyDescent="0.25">
      <c r="F82">
        <v>12</v>
      </c>
      <c r="H82">
        <v>4</v>
      </c>
      <c r="I82" t="s">
        <v>659</v>
      </c>
      <c r="J82" t="s">
        <v>660</v>
      </c>
    </row>
    <row r="83" spans="6:10" x14ac:dyDescent="0.25">
      <c r="F83">
        <v>12</v>
      </c>
      <c r="H83">
        <v>5</v>
      </c>
      <c r="I83" t="s">
        <v>661</v>
      </c>
      <c r="J83" t="s">
        <v>662</v>
      </c>
    </row>
    <row r="84" spans="6:10" x14ac:dyDescent="0.25">
      <c r="F84">
        <v>13</v>
      </c>
      <c r="H84">
        <v>1</v>
      </c>
      <c r="I84" t="s">
        <v>663</v>
      </c>
      <c r="J84" t="s">
        <v>664</v>
      </c>
    </row>
    <row r="85" spans="6:10" x14ac:dyDescent="0.25">
      <c r="F85">
        <v>13</v>
      </c>
      <c r="H85">
        <v>2</v>
      </c>
      <c r="I85" t="s">
        <v>665</v>
      </c>
      <c r="J85" t="s">
        <v>666</v>
      </c>
    </row>
    <row r="86" spans="6:10" x14ac:dyDescent="0.25">
      <c r="F86">
        <v>13</v>
      </c>
      <c r="H86">
        <v>3</v>
      </c>
      <c r="I86" t="s">
        <v>667</v>
      </c>
      <c r="J86" t="s">
        <v>668</v>
      </c>
    </row>
    <row r="87" spans="6:10" x14ac:dyDescent="0.25">
      <c r="F87">
        <v>13</v>
      </c>
      <c r="H87">
        <v>4</v>
      </c>
      <c r="I87" t="s">
        <v>653</v>
      </c>
      <c r="J87" t="s">
        <v>669</v>
      </c>
    </row>
    <row r="88" spans="6:10" x14ac:dyDescent="0.25">
      <c r="F88">
        <v>14</v>
      </c>
      <c r="H88">
        <v>3</v>
      </c>
      <c r="I88" t="s">
        <v>670</v>
      </c>
      <c r="J88" t="s">
        <v>671</v>
      </c>
    </row>
    <row r="89" spans="6:10" x14ac:dyDescent="0.25">
      <c r="F89">
        <v>14</v>
      </c>
      <c r="H89">
        <v>4</v>
      </c>
      <c r="I89" t="s">
        <v>672</v>
      </c>
      <c r="J89" t="s">
        <v>673</v>
      </c>
    </row>
    <row r="90" spans="6:10" x14ac:dyDescent="0.25">
      <c r="F90">
        <v>14</v>
      </c>
      <c r="H90">
        <v>5</v>
      </c>
      <c r="I90" t="s">
        <v>567</v>
      </c>
      <c r="J90" t="s">
        <v>674</v>
      </c>
    </row>
    <row r="91" spans="6:10" x14ac:dyDescent="0.25">
      <c r="F91">
        <v>14</v>
      </c>
      <c r="H91">
        <v>6</v>
      </c>
      <c r="I91" t="s">
        <v>571</v>
      </c>
      <c r="J91" t="s">
        <v>675</v>
      </c>
    </row>
    <row r="92" spans="6:10" x14ac:dyDescent="0.25">
      <c r="F92">
        <v>14</v>
      </c>
      <c r="H92">
        <v>2</v>
      </c>
      <c r="I92" t="s">
        <v>676</v>
      </c>
      <c r="J92" t="s">
        <v>677</v>
      </c>
    </row>
    <row r="93" spans="6:10" x14ac:dyDescent="0.25">
      <c r="F93">
        <v>14</v>
      </c>
      <c r="H93">
        <v>7</v>
      </c>
      <c r="I93" t="s">
        <v>678</v>
      </c>
      <c r="J93" t="s">
        <v>679</v>
      </c>
    </row>
    <row r="94" spans="6:10" x14ac:dyDescent="0.25">
      <c r="F94">
        <v>14</v>
      </c>
      <c r="H94">
        <v>1</v>
      </c>
      <c r="I94" t="s">
        <v>581</v>
      </c>
      <c r="J94" t="s">
        <v>680</v>
      </c>
    </row>
    <row r="95" spans="6:10" x14ac:dyDescent="0.25">
      <c r="F95">
        <v>14</v>
      </c>
      <c r="H95">
        <v>8</v>
      </c>
      <c r="I95" t="s">
        <v>584</v>
      </c>
      <c r="J95" t="s">
        <v>681</v>
      </c>
    </row>
    <row r="96" spans="6:10" x14ac:dyDescent="0.25">
      <c r="F96">
        <v>14</v>
      </c>
      <c r="H96">
        <v>9</v>
      </c>
      <c r="I96" t="s">
        <v>682</v>
      </c>
      <c r="J96" t="s">
        <v>683</v>
      </c>
    </row>
    <row r="97" spans="6:10" x14ac:dyDescent="0.25">
      <c r="F97">
        <v>17</v>
      </c>
      <c r="H97">
        <v>3</v>
      </c>
      <c r="I97" t="s">
        <v>684</v>
      </c>
      <c r="J97" t="s">
        <v>685</v>
      </c>
    </row>
    <row r="98" spans="6:10" x14ac:dyDescent="0.25">
      <c r="F98">
        <v>17</v>
      </c>
      <c r="H98">
        <v>4</v>
      </c>
      <c r="I98" t="s">
        <v>686</v>
      </c>
      <c r="J98" t="s">
        <v>687</v>
      </c>
    </row>
    <row r="99" spans="6:10" x14ac:dyDescent="0.25">
      <c r="F99">
        <v>17</v>
      </c>
      <c r="H99">
        <v>5</v>
      </c>
      <c r="I99" t="s">
        <v>688</v>
      </c>
      <c r="J99" t="s">
        <v>689</v>
      </c>
    </row>
    <row r="100" spans="6:10" x14ac:dyDescent="0.25">
      <c r="F100">
        <v>17</v>
      </c>
      <c r="H100">
        <v>6</v>
      </c>
      <c r="I100" t="s">
        <v>690</v>
      </c>
      <c r="J100" t="s">
        <v>691</v>
      </c>
    </row>
    <row r="101" spans="6:10" x14ac:dyDescent="0.25">
      <c r="F101">
        <v>17</v>
      </c>
      <c r="H101">
        <v>2</v>
      </c>
      <c r="I101" t="s">
        <v>692</v>
      </c>
      <c r="J101" t="s">
        <v>693</v>
      </c>
    </row>
    <row r="102" spans="6:10" x14ac:dyDescent="0.25">
      <c r="F102">
        <v>17</v>
      </c>
      <c r="H102">
        <v>7</v>
      </c>
      <c r="I102" t="s">
        <v>694</v>
      </c>
      <c r="J102" t="s">
        <v>695</v>
      </c>
    </row>
    <row r="103" spans="6:10" x14ac:dyDescent="0.25">
      <c r="F103">
        <v>17</v>
      </c>
      <c r="H103">
        <v>8</v>
      </c>
      <c r="I103" t="s">
        <v>696</v>
      </c>
      <c r="J103" t="s">
        <v>697</v>
      </c>
    </row>
    <row r="104" spans="6:10" x14ac:dyDescent="0.25">
      <c r="F104">
        <v>17</v>
      </c>
      <c r="H104">
        <v>9</v>
      </c>
      <c r="I104" t="s">
        <v>698</v>
      </c>
      <c r="J104" t="s">
        <v>699</v>
      </c>
    </row>
    <row r="105" spans="6:10" x14ac:dyDescent="0.25">
      <c r="F105">
        <v>17</v>
      </c>
      <c r="H105">
        <v>1</v>
      </c>
      <c r="I105" t="s">
        <v>700</v>
      </c>
      <c r="J105" t="s">
        <v>701</v>
      </c>
    </row>
    <row r="106" spans="6:10" x14ac:dyDescent="0.25">
      <c r="F106">
        <v>17</v>
      </c>
      <c r="H106">
        <v>10</v>
      </c>
      <c r="I106" t="s">
        <v>702</v>
      </c>
      <c r="J106" t="s">
        <v>703</v>
      </c>
    </row>
    <row r="107" spans="6:10" x14ac:dyDescent="0.25">
      <c r="F107">
        <v>18</v>
      </c>
      <c r="H107">
        <v>1</v>
      </c>
      <c r="I107" t="s">
        <v>704</v>
      </c>
      <c r="J107" t="s">
        <v>705</v>
      </c>
    </row>
    <row r="108" spans="6:10" x14ac:dyDescent="0.25">
      <c r="F108">
        <v>18</v>
      </c>
      <c r="H108">
        <v>2</v>
      </c>
      <c r="I108" t="s">
        <v>706</v>
      </c>
      <c r="J108" t="s">
        <v>707</v>
      </c>
    </row>
    <row r="109" spans="6:10" x14ac:dyDescent="0.25">
      <c r="F109">
        <v>18</v>
      </c>
      <c r="H109">
        <v>3</v>
      </c>
      <c r="I109" t="s">
        <v>708</v>
      </c>
      <c r="J109" t="s">
        <v>709</v>
      </c>
    </row>
    <row r="110" spans="6:10" x14ac:dyDescent="0.25">
      <c r="F110">
        <v>18</v>
      </c>
      <c r="H110">
        <v>4</v>
      </c>
      <c r="I110" t="s">
        <v>710</v>
      </c>
      <c r="J110" t="s">
        <v>711</v>
      </c>
    </row>
    <row r="111" spans="6:10" x14ac:dyDescent="0.25">
      <c r="F111">
        <v>18</v>
      </c>
      <c r="H111">
        <v>5</v>
      </c>
      <c r="I111" t="s">
        <v>712</v>
      </c>
      <c r="J111" t="s">
        <v>713</v>
      </c>
    </row>
    <row r="112" spans="6:10" x14ac:dyDescent="0.25">
      <c r="F112">
        <v>18</v>
      </c>
      <c r="H112">
        <v>6</v>
      </c>
      <c r="I112" t="s">
        <v>714</v>
      </c>
      <c r="J112" t="s">
        <v>715</v>
      </c>
    </row>
    <row r="113" spans="6:10" x14ac:dyDescent="0.25">
      <c r="F113">
        <v>18</v>
      </c>
      <c r="H113">
        <v>7</v>
      </c>
      <c r="I113" t="s">
        <v>716</v>
      </c>
      <c r="J113" t="s">
        <v>717</v>
      </c>
    </row>
    <row r="114" spans="6:10" x14ac:dyDescent="0.25">
      <c r="F114">
        <v>18</v>
      </c>
      <c r="H114">
        <v>8</v>
      </c>
      <c r="I114" t="s">
        <v>718</v>
      </c>
      <c r="J114" t="s">
        <v>719</v>
      </c>
    </row>
    <row r="115" spans="6:10" x14ac:dyDescent="0.25">
      <c r="F115">
        <v>19</v>
      </c>
      <c r="H115">
        <v>1</v>
      </c>
      <c r="I115" t="s">
        <v>720</v>
      </c>
      <c r="J115" t="s">
        <v>721</v>
      </c>
    </row>
    <row r="116" spans="6:10" x14ac:dyDescent="0.25">
      <c r="F116">
        <v>19</v>
      </c>
      <c r="H116">
        <v>2</v>
      </c>
      <c r="I116" t="s">
        <v>722</v>
      </c>
      <c r="J116" t="s">
        <v>723</v>
      </c>
    </row>
    <row r="117" spans="6:10" x14ac:dyDescent="0.25">
      <c r="F117">
        <v>19</v>
      </c>
      <c r="H117">
        <v>3</v>
      </c>
      <c r="I117" t="s">
        <v>724</v>
      </c>
      <c r="J117" t="s">
        <v>725</v>
      </c>
    </row>
    <row r="118" spans="6:10" x14ac:dyDescent="0.25">
      <c r="F118">
        <v>19</v>
      </c>
      <c r="H118">
        <v>4</v>
      </c>
      <c r="I118" t="s">
        <v>726</v>
      </c>
      <c r="J118" t="s">
        <v>727</v>
      </c>
    </row>
    <row r="119" spans="6:10" x14ac:dyDescent="0.25">
      <c r="F119">
        <v>19</v>
      </c>
      <c r="H119">
        <v>5</v>
      </c>
      <c r="I119" t="s">
        <v>728</v>
      </c>
      <c r="J119" t="s">
        <v>729</v>
      </c>
    </row>
    <row r="120" spans="6:10" x14ac:dyDescent="0.25">
      <c r="F120">
        <v>20</v>
      </c>
      <c r="H120">
        <v>1</v>
      </c>
      <c r="I120" t="s">
        <v>730</v>
      </c>
      <c r="J120" t="s">
        <v>731</v>
      </c>
    </row>
    <row r="121" spans="6:10" x14ac:dyDescent="0.25">
      <c r="F121">
        <v>20</v>
      </c>
      <c r="H121">
        <v>2</v>
      </c>
      <c r="I121" t="s">
        <v>732</v>
      </c>
      <c r="J121" t="s">
        <v>733</v>
      </c>
    </row>
    <row r="122" spans="6:10" x14ac:dyDescent="0.25">
      <c r="F122">
        <v>20</v>
      </c>
      <c r="H122">
        <v>3</v>
      </c>
      <c r="I122" t="s">
        <v>734</v>
      </c>
      <c r="J122" t="s">
        <v>735</v>
      </c>
    </row>
    <row r="123" spans="6:10" x14ac:dyDescent="0.25">
      <c r="F123">
        <v>20</v>
      </c>
      <c r="H123">
        <v>4</v>
      </c>
      <c r="I123" t="s">
        <v>736</v>
      </c>
      <c r="J123" t="s">
        <v>737</v>
      </c>
    </row>
    <row r="124" spans="6:10" x14ac:dyDescent="0.25">
      <c r="F124">
        <v>20</v>
      </c>
      <c r="H124">
        <v>5</v>
      </c>
      <c r="I124" t="s">
        <v>738</v>
      </c>
      <c r="J124" t="s">
        <v>739</v>
      </c>
    </row>
    <row r="125" spans="6:10" x14ac:dyDescent="0.25">
      <c r="F125">
        <v>20</v>
      </c>
      <c r="H125">
        <v>6</v>
      </c>
      <c r="I125" t="s">
        <v>740</v>
      </c>
      <c r="J125" t="s">
        <v>741</v>
      </c>
    </row>
    <row r="126" spans="6:10" x14ac:dyDescent="0.25">
      <c r="F126">
        <v>20</v>
      </c>
      <c r="H126">
        <v>7</v>
      </c>
      <c r="I126" t="s">
        <v>742</v>
      </c>
      <c r="J126" t="s">
        <v>743</v>
      </c>
    </row>
    <row r="127" spans="6:10" x14ac:dyDescent="0.25">
      <c r="F127">
        <v>20</v>
      </c>
      <c r="H127">
        <v>8</v>
      </c>
      <c r="I127" t="s">
        <v>744</v>
      </c>
      <c r="J127" t="s">
        <v>745</v>
      </c>
    </row>
    <row r="128" spans="6:10" x14ac:dyDescent="0.25">
      <c r="F128">
        <v>20</v>
      </c>
      <c r="H128">
        <v>9</v>
      </c>
      <c r="I128" t="s">
        <v>746</v>
      </c>
      <c r="J128" t="s">
        <v>747</v>
      </c>
    </row>
    <row r="129" spans="6:10" x14ac:dyDescent="0.25">
      <c r="F129">
        <v>20</v>
      </c>
      <c r="H129">
        <v>10</v>
      </c>
      <c r="I129" t="s">
        <v>748</v>
      </c>
      <c r="J129" t="s">
        <v>749</v>
      </c>
    </row>
    <row r="130" spans="6:10" x14ac:dyDescent="0.25">
      <c r="F130">
        <v>20</v>
      </c>
      <c r="H130">
        <v>11</v>
      </c>
      <c r="I130" t="s">
        <v>750</v>
      </c>
      <c r="J130" t="s">
        <v>751</v>
      </c>
    </row>
    <row r="131" spans="6:10" x14ac:dyDescent="0.25">
      <c r="F131">
        <v>20</v>
      </c>
      <c r="H131">
        <v>12</v>
      </c>
      <c r="I131" t="s">
        <v>752</v>
      </c>
      <c r="J131" t="s">
        <v>753</v>
      </c>
    </row>
    <row r="132" spans="6:10" x14ac:dyDescent="0.25">
      <c r="F132">
        <v>20</v>
      </c>
      <c r="H132">
        <v>13</v>
      </c>
      <c r="I132" t="s">
        <v>754</v>
      </c>
      <c r="J132" t="s">
        <v>755</v>
      </c>
    </row>
    <row r="133" spans="6:10" x14ac:dyDescent="0.25">
      <c r="F133">
        <v>20</v>
      </c>
      <c r="H133">
        <v>14</v>
      </c>
      <c r="I133" t="s">
        <v>756</v>
      </c>
      <c r="J133" t="s">
        <v>757</v>
      </c>
    </row>
    <row r="134" spans="6:10" x14ac:dyDescent="0.25">
      <c r="F134">
        <v>20</v>
      </c>
      <c r="H134">
        <v>15</v>
      </c>
      <c r="I134" t="s">
        <v>758</v>
      </c>
      <c r="J134" t="s">
        <v>759</v>
      </c>
    </row>
    <row r="135" spans="6:10" x14ac:dyDescent="0.25">
      <c r="F135">
        <v>20</v>
      </c>
      <c r="H135">
        <v>16</v>
      </c>
      <c r="I135" t="s">
        <v>760</v>
      </c>
      <c r="J135" t="s">
        <v>761</v>
      </c>
    </row>
    <row r="136" spans="6:10" x14ac:dyDescent="0.25">
      <c r="F136">
        <v>21</v>
      </c>
      <c r="H136">
        <v>1</v>
      </c>
      <c r="I136" t="s">
        <v>762</v>
      </c>
      <c r="J136" t="s">
        <v>763</v>
      </c>
    </row>
    <row r="137" spans="6:10" x14ac:dyDescent="0.25">
      <c r="F137">
        <v>21</v>
      </c>
      <c r="H137">
        <v>2</v>
      </c>
      <c r="I137" t="s">
        <v>764</v>
      </c>
      <c r="J137" t="s">
        <v>765</v>
      </c>
    </row>
    <row r="138" spans="6:10" x14ac:dyDescent="0.25">
      <c r="F138">
        <v>21</v>
      </c>
      <c r="H138">
        <v>3</v>
      </c>
      <c r="I138" t="s">
        <v>766</v>
      </c>
      <c r="J138" t="s">
        <v>767</v>
      </c>
    </row>
    <row r="139" spans="6:10" x14ac:dyDescent="0.25">
      <c r="F139">
        <v>21</v>
      </c>
      <c r="H139">
        <v>4</v>
      </c>
      <c r="I139" t="s">
        <v>768</v>
      </c>
      <c r="J139" t="s">
        <v>769</v>
      </c>
    </row>
    <row r="140" spans="6:10" x14ac:dyDescent="0.25">
      <c r="F140">
        <v>21</v>
      </c>
      <c r="H140">
        <v>5</v>
      </c>
      <c r="I140" t="s">
        <v>770</v>
      </c>
      <c r="J140" t="s">
        <v>771</v>
      </c>
    </row>
    <row r="141" spans="6:10" x14ac:dyDescent="0.25">
      <c r="F141">
        <v>21</v>
      </c>
      <c r="H141">
        <v>6</v>
      </c>
      <c r="I141" t="s">
        <v>772</v>
      </c>
      <c r="J141" t="s">
        <v>773</v>
      </c>
    </row>
    <row r="142" spans="6:10" x14ac:dyDescent="0.25">
      <c r="F142">
        <v>21</v>
      </c>
      <c r="H142">
        <v>7</v>
      </c>
      <c r="I142" t="s">
        <v>774</v>
      </c>
      <c r="J142" t="s">
        <v>775</v>
      </c>
    </row>
    <row r="143" spans="6:10" x14ac:dyDescent="0.25">
      <c r="F143">
        <v>21</v>
      </c>
      <c r="H143">
        <v>8</v>
      </c>
      <c r="I143" t="s">
        <v>776</v>
      </c>
      <c r="J143" t="s">
        <v>777</v>
      </c>
    </row>
    <row r="144" spans="6:10" x14ac:dyDescent="0.25">
      <c r="F144">
        <v>21</v>
      </c>
      <c r="H144">
        <v>9</v>
      </c>
      <c r="I144" t="s">
        <v>778</v>
      </c>
      <c r="J144" t="s">
        <v>779</v>
      </c>
    </row>
    <row r="145" spans="6:10" x14ac:dyDescent="0.25">
      <c r="F145">
        <v>21</v>
      </c>
      <c r="H145">
        <v>10</v>
      </c>
      <c r="I145" t="s">
        <v>780</v>
      </c>
      <c r="J145" t="s">
        <v>781</v>
      </c>
    </row>
    <row r="146" spans="6:10" x14ac:dyDescent="0.25">
      <c r="F146">
        <v>21</v>
      </c>
      <c r="H146">
        <v>11</v>
      </c>
      <c r="I146" t="s">
        <v>782</v>
      </c>
      <c r="J146" t="s">
        <v>783</v>
      </c>
    </row>
    <row r="147" spans="6:10" x14ac:dyDescent="0.25">
      <c r="F147">
        <v>21</v>
      </c>
      <c r="H147">
        <v>12</v>
      </c>
      <c r="I147" t="s">
        <v>784</v>
      </c>
      <c r="J147" t="s">
        <v>785</v>
      </c>
    </row>
    <row r="148" spans="6:10" x14ac:dyDescent="0.25">
      <c r="F148">
        <v>21</v>
      </c>
      <c r="H148">
        <v>13</v>
      </c>
      <c r="I148" t="s">
        <v>786</v>
      </c>
      <c r="J148" t="s">
        <v>787</v>
      </c>
    </row>
    <row r="149" spans="6:10" x14ac:dyDescent="0.25">
      <c r="F149">
        <v>21</v>
      </c>
      <c r="H149">
        <v>14</v>
      </c>
      <c r="I149" t="s">
        <v>788</v>
      </c>
      <c r="J149" t="s">
        <v>789</v>
      </c>
    </row>
    <row r="150" spans="6:10" x14ac:dyDescent="0.25">
      <c r="F150">
        <v>22</v>
      </c>
      <c r="H150">
        <v>1</v>
      </c>
      <c r="I150" t="s">
        <v>790</v>
      </c>
      <c r="J150" t="s">
        <v>791</v>
      </c>
    </row>
    <row r="151" spans="6:10" x14ac:dyDescent="0.25">
      <c r="F151">
        <v>22</v>
      </c>
      <c r="H151">
        <v>2</v>
      </c>
      <c r="I151" t="s">
        <v>792</v>
      </c>
      <c r="J151" t="s">
        <v>793</v>
      </c>
    </row>
    <row r="152" spans="6:10" x14ac:dyDescent="0.25">
      <c r="F152">
        <v>23</v>
      </c>
      <c r="H152">
        <v>1</v>
      </c>
      <c r="I152" t="s">
        <v>794</v>
      </c>
      <c r="J152" t="s">
        <v>795</v>
      </c>
    </row>
    <row r="153" spans="6:10" x14ac:dyDescent="0.25">
      <c r="F153">
        <v>23</v>
      </c>
      <c r="H153">
        <v>2</v>
      </c>
      <c r="I153" t="s">
        <v>796</v>
      </c>
      <c r="J153" t="s">
        <v>797</v>
      </c>
    </row>
    <row r="154" spans="6:10" x14ac:dyDescent="0.25">
      <c r="F154">
        <v>23</v>
      </c>
      <c r="H154">
        <v>3</v>
      </c>
      <c r="I154" t="s">
        <v>798</v>
      </c>
      <c r="J154" t="s">
        <v>799</v>
      </c>
    </row>
    <row r="155" spans="6:10" x14ac:dyDescent="0.25">
      <c r="F155">
        <v>23</v>
      </c>
      <c r="H155">
        <v>4</v>
      </c>
      <c r="I155" t="s">
        <v>800</v>
      </c>
      <c r="J155" t="s">
        <v>801</v>
      </c>
    </row>
    <row r="156" spans="6:10" x14ac:dyDescent="0.25">
      <c r="F156">
        <v>23</v>
      </c>
      <c r="H156">
        <v>5</v>
      </c>
      <c r="I156" t="s">
        <v>802</v>
      </c>
      <c r="J156" t="s">
        <v>803</v>
      </c>
    </row>
    <row r="157" spans="6:10" x14ac:dyDescent="0.25">
      <c r="F157">
        <v>23</v>
      </c>
      <c r="H157">
        <v>6</v>
      </c>
      <c r="I157" t="s">
        <v>804</v>
      </c>
      <c r="J157" t="s">
        <v>805</v>
      </c>
    </row>
    <row r="158" spans="6:10" x14ac:dyDescent="0.25">
      <c r="F158">
        <v>24</v>
      </c>
      <c r="H158">
        <v>1</v>
      </c>
      <c r="I158" t="s">
        <v>659</v>
      </c>
      <c r="J158" t="s">
        <v>806</v>
      </c>
    </row>
    <row r="159" spans="6:10" x14ac:dyDescent="0.25">
      <c r="F159">
        <v>24</v>
      </c>
      <c r="H159">
        <v>2</v>
      </c>
      <c r="I159" t="s">
        <v>807</v>
      </c>
      <c r="J159" t="s">
        <v>808</v>
      </c>
    </row>
    <row r="160" spans="6:10" x14ac:dyDescent="0.25">
      <c r="F160">
        <v>24</v>
      </c>
      <c r="H160">
        <v>3</v>
      </c>
      <c r="I160" t="s">
        <v>809</v>
      </c>
      <c r="J160" t="s">
        <v>810</v>
      </c>
    </row>
    <row r="161" spans="6:10" x14ac:dyDescent="0.25">
      <c r="F161">
        <v>24</v>
      </c>
      <c r="H161">
        <v>4</v>
      </c>
      <c r="I161" t="s">
        <v>661</v>
      </c>
      <c r="J161" t="s">
        <v>811</v>
      </c>
    </row>
    <row r="162" spans="6:10" x14ac:dyDescent="0.25">
      <c r="F162">
        <v>24</v>
      </c>
      <c r="H162">
        <v>5</v>
      </c>
      <c r="I162" t="s">
        <v>812</v>
      </c>
      <c r="J162" t="s">
        <v>813</v>
      </c>
    </row>
    <row r="163" spans="6:10" x14ac:dyDescent="0.25">
      <c r="F163">
        <v>25</v>
      </c>
      <c r="H163">
        <v>1</v>
      </c>
      <c r="I163" t="s">
        <v>604</v>
      </c>
      <c r="J163" t="s">
        <v>814</v>
      </c>
    </row>
    <row r="164" spans="6:10" x14ac:dyDescent="0.25">
      <c r="F164">
        <v>25</v>
      </c>
      <c r="H164">
        <v>2</v>
      </c>
      <c r="I164" t="s">
        <v>606</v>
      </c>
      <c r="J164" t="s">
        <v>815</v>
      </c>
    </row>
    <row r="165" spans="6:10" x14ac:dyDescent="0.25">
      <c r="F165">
        <v>25</v>
      </c>
      <c r="H165">
        <v>3</v>
      </c>
      <c r="I165" t="s">
        <v>608</v>
      </c>
      <c r="J165" t="s">
        <v>816</v>
      </c>
    </row>
    <row r="166" spans="6:10" x14ac:dyDescent="0.25">
      <c r="F166">
        <v>25</v>
      </c>
      <c r="H166">
        <v>4</v>
      </c>
      <c r="I166" t="s">
        <v>610</v>
      </c>
      <c r="J166" t="s">
        <v>817</v>
      </c>
    </row>
    <row r="167" spans="6:10" x14ac:dyDescent="0.25">
      <c r="F167">
        <v>25</v>
      </c>
      <c r="H167">
        <v>5</v>
      </c>
      <c r="I167" t="s">
        <v>612</v>
      </c>
      <c r="J167" t="s">
        <v>818</v>
      </c>
    </row>
    <row r="168" spans="6:10" x14ac:dyDescent="0.25">
      <c r="F168">
        <v>25</v>
      </c>
      <c r="H168">
        <v>6</v>
      </c>
      <c r="I168" t="s">
        <v>614</v>
      </c>
      <c r="J168" t="s">
        <v>819</v>
      </c>
    </row>
  </sheetData>
  <autoFilter ref="H19:H168" xr:uid="{00000000-0009-0000-0000-000004000000}"/>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17412" r:id="rId3" name="Nedrullningsbar listruta 4">
              <controlPr defaultSize="0" autoLine="0" autoPict="0">
                <anchor moveWithCells="1">
                  <from>
                    <xdr:col>0</xdr:col>
                    <xdr:colOff>590550</xdr:colOff>
                    <xdr:row>6</xdr:row>
                    <xdr:rowOff>190500</xdr:rowOff>
                  </from>
                  <to>
                    <xdr:col>2</xdr:col>
                    <xdr:colOff>0</xdr:colOff>
                    <xdr:row>8</xdr:row>
                    <xdr:rowOff>0</xdr:rowOff>
                  </to>
                </anchor>
              </controlPr>
            </control>
          </mc:Choice>
        </mc:AlternateContent>
        <mc:AlternateContent xmlns:mc="http://schemas.openxmlformats.org/markup-compatibility/2006">
          <mc:Choice Requires="x14">
            <control shapeId="17413" r:id="rId4" name="Drop Down 5">
              <controlPr defaultSize="0" autoLine="0" autoPict="0">
                <anchor moveWithCells="1">
                  <from>
                    <xdr:col>2</xdr:col>
                    <xdr:colOff>590550</xdr:colOff>
                    <xdr:row>6</xdr:row>
                    <xdr:rowOff>190500</xdr:rowOff>
                  </from>
                  <to>
                    <xdr:col>3</xdr:col>
                    <xdr:colOff>257175</xdr:colOff>
                    <xdr:row>8</xdr:row>
                    <xdr:rowOff>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11"/>
  <dimension ref="A1:MP3"/>
  <sheetViews>
    <sheetView topLeftCell="EO1" workbookViewId="0">
      <selection activeCell="FD2" sqref="FD2"/>
    </sheetView>
  </sheetViews>
  <sheetFormatPr defaultRowHeight="15" x14ac:dyDescent="0.25"/>
  <cols>
    <col min="1" max="7" width="9.140625" customWidth="1"/>
    <col min="8" max="10" width="10.42578125" customWidth="1"/>
    <col min="11" max="28" width="9.140625" customWidth="1"/>
    <col min="29" max="29" width="10.42578125" bestFit="1" customWidth="1"/>
    <col min="30" max="33" width="9.140625" customWidth="1"/>
    <col min="34" max="34" width="10.42578125" bestFit="1" customWidth="1"/>
    <col min="35" max="116" width="9.140625" customWidth="1"/>
  </cols>
  <sheetData>
    <row r="1" spans="1:354" x14ac:dyDescent="0.25">
      <c r="A1" t="s">
        <v>820</v>
      </c>
      <c r="B1" t="s">
        <v>821</v>
      </c>
      <c r="C1" t="s">
        <v>822</v>
      </c>
      <c r="D1" t="s">
        <v>823</v>
      </c>
      <c r="E1" t="s">
        <v>824</v>
      </c>
      <c r="F1" t="s">
        <v>825</v>
      </c>
      <c r="G1" t="s">
        <v>826</v>
      </c>
      <c r="H1" t="s">
        <v>827</v>
      </c>
      <c r="I1" t="s">
        <v>828</v>
      </c>
      <c r="J1" t="s">
        <v>829</v>
      </c>
      <c r="K1" t="s">
        <v>830</v>
      </c>
      <c r="L1" t="s">
        <v>831</v>
      </c>
      <c r="M1" t="s">
        <v>832</v>
      </c>
      <c r="N1" t="s">
        <v>833</v>
      </c>
      <c r="O1" t="s">
        <v>834</v>
      </c>
      <c r="P1" t="s">
        <v>835</v>
      </c>
      <c r="Q1" t="s">
        <v>836</v>
      </c>
      <c r="R1" t="s">
        <v>837</v>
      </c>
      <c r="S1" t="s">
        <v>838</v>
      </c>
      <c r="T1" t="s">
        <v>839</v>
      </c>
      <c r="U1" t="s">
        <v>840</v>
      </c>
      <c r="V1" t="s">
        <v>841</v>
      </c>
      <c r="W1" t="s">
        <v>842</v>
      </c>
      <c r="X1" t="s">
        <v>843</v>
      </c>
      <c r="Y1" t="s">
        <v>844</v>
      </c>
      <c r="Z1" t="s">
        <v>845</v>
      </c>
      <c r="AA1" t="s">
        <v>846</v>
      </c>
      <c r="AB1" t="s">
        <v>847</v>
      </c>
      <c r="AC1" t="s">
        <v>848</v>
      </c>
      <c r="AD1" t="s">
        <v>849</v>
      </c>
      <c r="AE1" t="s">
        <v>850</v>
      </c>
      <c r="AF1" t="s">
        <v>851</v>
      </c>
      <c r="AG1" t="s">
        <v>852</v>
      </c>
      <c r="AH1" t="s">
        <v>853</v>
      </c>
      <c r="AI1" t="s">
        <v>854</v>
      </c>
      <c r="AJ1" t="s">
        <v>855</v>
      </c>
      <c r="AK1" t="s">
        <v>856</v>
      </c>
      <c r="AL1" t="s">
        <v>857</v>
      </c>
      <c r="AM1" t="s">
        <v>858</v>
      </c>
      <c r="AN1" t="s">
        <v>859</v>
      </c>
      <c r="AO1" t="s">
        <v>860</v>
      </c>
      <c r="AP1" t="s">
        <v>861</v>
      </c>
      <c r="AQ1" t="s">
        <v>862</v>
      </c>
      <c r="AR1" t="s">
        <v>863</v>
      </c>
      <c r="AS1" t="s">
        <v>864</v>
      </c>
      <c r="AT1" t="s">
        <v>865</v>
      </c>
      <c r="AU1" t="s">
        <v>866</v>
      </c>
      <c r="AV1" t="s">
        <v>867</v>
      </c>
      <c r="AW1" t="s">
        <v>868</v>
      </c>
      <c r="AX1" t="s">
        <v>869</v>
      </c>
      <c r="AY1" t="s">
        <v>870</v>
      </c>
      <c r="AZ1" t="s">
        <v>871</v>
      </c>
      <c r="BA1" t="s">
        <v>872</v>
      </c>
      <c r="BB1" t="s">
        <v>873</v>
      </c>
      <c r="BC1" t="s">
        <v>874</v>
      </c>
      <c r="BD1" t="s">
        <v>875</v>
      </c>
      <c r="BE1" t="s">
        <v>876</v>
      </c>
      <c r="BF1" t="s">
        <v>877</v>
      </c>
      <c r="BG1" t="s">
        <v>878</v>
      </c>
      <c r="BH1" t="s">
        <v>879</v>
      </c>
      <c r="BI1" t="s">
        <v>880</v>
      </c>
      <c r="BJ1" t="s">
        <v>881</v>
      </c>
      <c r="BK1" t="s">
        <v>882</v>
      </c>
      <c r="BL1" t="s">
        <v>883</v>
      </c>
      <c r="BM1" t="s">
        <v>884</v>
      </c>
      <c r="BN1" t="s">
        <v>885</v>
      </c>
      <c r="BO1" t="s">
        <v>886</v>
      </c>
      <c r="BP1" t="s">
        <v>887</v>
      </c>
      <c r="BQ1" t="s">
        <v>888</v>
      </c>
      <c r="BR1" t="s">
        <v>889</v>
      </c>
      <c r="BS1" t="s">
        <v>890</v>
      </c>
      <c r="BT1" t="s">
        <v>891</v>
      </c>
      <c r="BU1" t="s">
        <v>892</v>
      </c>
      <c r="BV1" t="s">
        <v>893</v>
      </c>
      <c r="BW1" t="s">
        <v>894</v>
      </c>
      <c r="BX1" t="s">
        <v>895</v>
      </c>
      <c r="BY1" t="s">
        <v>896</v>
      </c>
      <c r="BZ1" t="s">
        <v>897</v>
      </c>
      <c r="CA1" t="s">
        <v>898</v>
      </c>
      <c r="CB1" t="s">
        <v>899</v>
      </c>
      <c r="CC1" t="s">
        <v>900</v>
      </c>
      <c r="CD1" t="s">
        <v>901</v>
      </c>
      <c r="CE1" t="s">
        <v>902</v>
      </c>
      <c r="CF1" t="s">
        <v>903</v>
      </c>
      <c r="CG1" t="s">
        <v>904</v>
      </c>
      <c r="CH1" t="s">
        <v>905</v>
      </c>
      <c r="CI1" t="s">
        <v>906</v>
      </c>
      <c r="CJ1" t="s">
        <v>907</v>
      </c>
      <c r="CK1" t="s">
        <v>908</v>
      </c>
      <c r="CL1" t="s">
        <v>909</v>
      </c>
      <c r="CM1" t="s">
        <v>910</v>
      </c>
      <c r="CN1" t="s">
        <v>911</v>
      </c>
      <c r="CO1" t="s">
        <v>912</v>
      </c>
      <c r="CP1" t="s">
        <v>913</v>
      </c>
      <c r="CQ1" t="s">
        <v>914</v>
      </c>
      <c r="CR1" t="s">
        <v>915</v>
      </c>
      <c r="CS1" t="s">
        <v>916</v>
      </c>
      <c r="CT1" t="s">
        <v>917</v>
      </c>
      <c r="CU1" t="s">
        <v>918</v>
      </c>
      <c r="CV1" t="s">
        <v>919</v>
      </c>
      <c r="CW1" t="s">
        <v>920</v>
      </c>
      <c r="CX1" t="s">
        <v>921</v>
      </c>
      <c r="CY1" t="s">
        <v>922</v>
      </c>
      <c r="CZ1" t="s">
        <v>923</v>
      </c>
      <c r="DA1" t="s">
        <v>924</v>
      </c>
      <c r="DB1" t="s">
        <v>925</v>
      </c>
      <c r="DC1" t="s">
        <v>926</v>
      </c>
      <c r="DD1" t="s">
        <v>927</v>
      </c>
      <c r="DE1" t="s">
        <v>928</v>
      </c>
      <c r="DF1" t="s">
        <v>929</v>
      </c>
      <c r="DG1" t="s">
        <v>930</v>
      </c>
      <c r="DH1" t="s">
        <v>931</v>
      </c>
      <c r="DI1" t="s">
        <v>932</v>
      </c>
      <c r="DJ1" t="s">
        <v>933</v>
      </c>
      <c r="DK1" t="s">
        <v>934</v>
      </c>
      <c r="DL1" t="s">
        <v>935</v>
      </c>
      <c r="DM1" t="s">
        <v>936</v>
      </c>
      <c r="DN1" t="s">
        <v>937</v>
      </c>
      <c r="DO1" t="s">
        <v>938</v>
      </c>
      <c r="DP1" t="s">
        <v>939</v>
      </c>
      <c r="DQ1" t="s">
        <v>940</v>
      </c>
      <c r="DR1" t="s">
        <v>941</v>
      </c>
      <c r="DS1" t="s">
        <v>942</v>
      </c>
      <c r="DT1" t="s">
        <v>943</v>
      </c>
      <c r="DU1" t="s">
        <v>944</v>
      </c>
      <c r="DV1" t="s">
        <v>945</v>
      </c>
      <c r="DW1" t="s">
        <v>946</v>
      </c>
      <c r="DX1" t="s">
        <v>947</v>
      </c>
      <c r="DY1" t="s">
        <v>948</v>
      </c>
      <c r="DZ1" t="s">
        <v>949</v>
      </c>
      <c r="EA1" t="s">
        <v>950</v>
      </c>
      <c r="EB1" t="s">
        <v>951</v>
      </c>
      <c r="EC1" t="s">
        <v>952</v>
      </c>
      <c r="ED1" t="s">
        <v>953</v>
      </c>
      <c r="EE1" t="s">
        <v>954</v>
      </c>
      <c r="EF1" t="s">
        <v>955</v>
      </c>
      <c r="EG1" t="s">
        <v>956</v>
      </c>
      <c r="EH1" t="s">
        <v>957</v>
      </c>
      <c r="EI1" t="s">
        <v>958</v>
      </c>
      <c r="EL1" t="s">
        <v>959</v>
      </c>
      <c r="EM1" t="s">
        <v>960</v>
      </c>
      <c r="EN1" t="s">
        <v>961</v>
      </c>
      <c r="EO1" t="s">
        <v>962</v>
      </c>
      <c r="EP1" t="s">
        <v>963</v>
      </c>
      <c r="EQ1" t="s">
        <v>964</v>
      </c>
      <c r="ER1" t="s">
        <v>965</v>
      </c>
      <c r="ES1" t="s">
        <v>966</v>
      </c>
      <c r="ET1" t="s">
        <v>967</v>
      </c>
      <c r="EU1" t="s">
        <v>968</v>
      </c>
      <c r="EV1" t="s">
        <v>969</v>
      </c>
      <c r="EW1" t="s">
        <v>970</v>
      </c>
      <c r="EX1" t="s">
        <v>971</v>
      </c>
      <c r="EY1" t="s">
        <v>972</v>
      </c>
      <c r="EZ1" t="s">
        <v>973</v>
      </c>
      <c r="FA1" t="s">
        <v>974</v>
      </c>
      <c r="FB1" t="s">
        <v>975</v>
      </c>
      <c r="FC1" t="s">
        <v>976</v>
      </c>
      <c r="FD1" t="s">
        <v>977</v>
      </c>
      <c r="FE1" t="s">
        <v>978</v>
      </c>
      <c r="FF1" t="s">
        <v>979</v>
      </c>
      <c r="FG1" t="s">
        <v>980</v>
      </c>
      <c r="FH1" t="s">
        <v>981</v>
      </c>
      <c r="FI1" t="s">
        <v>982</v>
      </c>
      <c r="FJ1" t="s">
        <v>983</v>
      </c>
      <c r="FK1" t="s">
        <v>984</v>
      </c>
      <c r="FL1" t="s">
        <v>985</v>
      </c>
      <c r="FM1" t="s">
        <v>986</v>
      </c>
      <c r="FN1" t="s">
        <v>987</v>
      </c>
      <c r="FO1" t="s">
        <v>988</v>
      </c>
      <c r="FP1" t="s">
        <v>989</v>
      </c>
      <c r="FQ1" t="s">
        <v>990</v>
      </c>
      <c r="FR1" t="s">
        <v>991</v>
      </c>
      <c r="FS1" t="s">
        <v>992</v>
      </c>
      <c r="FT1" t="s">
        <v>993</v>
      </c>
      <c r="FU1" t="s">
        <v>994</v>
      </c>
      <c r="FV1" t="s">
        <v>995</v>
      </c>
      <c r="FW1" t="s">
        <v>996</v>
      </c>
      <c r="FX1" t="s">
        <v>997</v>
      </c>
      <c r="FY1" t="s">
        <v>998</v>
      </c>
      <c r="FZ1" t="s">
        <v>999</v>
      </c>
      <c r="GA1" t="s">
        <v>1000</v>
      </c>
      <c r="GB1" t="s">
        <v>1001</v>
      </c>
      <c r="GC1" t="s">
        <v>1002</v>
      </c>
      <c r="GD1" t="s">
        <v>1003</v>
      </c>
      <c r="GE1" t="s">
        <v>1004</v>
      </c>
      <c r="GF1" t="s">
        <v>1005</v>
      </c>
      <c r="GG1" t="s">
        <v>1006</v>
      </c>
      <c r="GH1" t="s">
        <v>1007</v>
      </c>
      <c r="GI1" t="s">
        <v>1008</v>
      </c>
      <c r="GJ1" t="s">
        <v>1009</v>
      </c>
      <c r="GK1" t="s">
        <v>1010</v>
      </c>
      <c r="GL1" t="s">
        <v>1011</v>
      </c>
      <c r="GM1" t="s">
        <v>1012</v>
      </c>
      <c r="GN1" t="s">
        <v>1013</v>
      </c>
      <c r="GO1" t="s">
        <v>1014</v>
      </c>
      <c r="GP1" t="s">
        <v>1015</v>
      </c>
      <c r="GQ1" t="s">
        <v>1016</v>
      </c>
      <c r="GR1" t="s">
        <v>1017</v>
      </c>
      <c r="GS1" t="s">
        <v>1018</v>
      </c>
      <c r="GT1" t="s">
        <v>1019</v>
      </c>
      <c r="GU1" t="s">
        <v>1020</v>
      </c>
      <c r="GV1" t="s">
        <v>1021</v>
      </c>
      <c r="GW1" t="s">
        <v>1022</v>
      </c>
      <c r="GX1" t="s">
        <v>1023</v>
      </c>
      <c r="GY1" t="s">
        <v>1024</v>
      </c>
      <c r="GZ1" t="s">
        <v>1025</v>
      </c>
      <c r="HA1" t="s">
        <v>1026</v>
      </c>
      <c r="HB1" t="s">
        <v>1027</v>
      </c>
      <c r="HC1" t="s">
        <v>1028</v>
      </c>
      <c r="HD1" t="s">
        <v>1029</v>
      </c>
      <c r="HE1" t="s">
        <v>1030</v>
      </c>
      <c r="HF1" t="s">
        <v>1031</v>
      </c>
      <c r="HG1" t="s">
        <v>1032</v>
      </c>
      <c r="HH1" t="s">
        <v>1033</v>
      </c>
      <c r="HI1" t="s">
        <v>1034</v>
      </c>
      <c r="HJ1" t="s">
        <v>1035</v>
      </c>
      <c r="HK1" t="s">
        <v>1036</v>
      </c>
      <c r="HL1" t="s">
        <v>1037</v>
      </c>
      <c r="HM1" t="s">
        <v>1038</v>
      </c>
      <c r="HN1" t="s">
        <v>1039</v>
      </c>
      <c r="HO1" t="s">
        <v>1040</v>
      </c>
      <c r="HP1" t="s">
        <v>1041</v>
      </c>
      <c r="HQ1" t="s">
        <v>1042</v>
      </c>
      <c r="HR1" t="s">
        <v>1043</v>
      </c>
      <c r="HS1" t="s">
        <v>1044</v>
      </c>
      <c r="HT1" t="s">
        <v>1045</v>
      </c>
      <c r="HU1" t="s">
        <v>1046</v>
      </c>
      <c r="HV1" t="s">
        <v>1047</v>
      </c>
      <c r="HW1" t="s">
        <v>1048</v>
      </c>
      <c r="HX1" t="s">
        <v>1049</v>
      </c>
      <c r="HY1" t="s">
        <v>1050</v>
      </c>
      <c r="HZ1" t="s">
        <v>1051</v>
      </c>
      <c r="IA1" t="s">
        <v>1052</v>
      </c>
      <c r="IB1" t="s">
        <v>1053</v>
      </c>
      <c r="IC1" t="s">
        <v>1054</v>
      </c>
      <c r="ID1" t="s">
        <v>1055</v>
      </c>
      <c r="IE1" t="s">
        <v>1056</v>
      </c>
      <c r="IF1" t="s">
        <v>1057</v>
      </c>
      <c r="IG1" t="s">
        <v>1058</v>
      </c>
      <c r="IH1" t="s">
        <v>1059</v>
      </c>
      <c r="II1" t="s">
        <v>1060</v>
      </c>
      <c r="IJ1" t="s">
        <v>1061</v>
      </c>
      <c r="IK1" t="s">
        <v>1062</v>
      </c>
      <c r="IL1" t="s">
        <v>1063</v>
      </c>
      <c r="IM1" t="s">
        <v>1064</v>
      </c>
      <c r="IN1" t="s">
        <v>1065</v>
      </c>
      <c r="IO1" t="s">
        <v>1066</v>
      </c>
      <c r="IP1" t="s">
        <v>1067</v>
      </c>
      <c r="IQ1" t="s">
        <v>1068</v>
      </c>
      <c r="IR1" t="s">
        <v>1069</v>
      </c>
      <c r="IS1" t="s">
        <v>1070</v>
      </c>
      <c r="IT1" t="s">
        <v>1071</v>
      </c>
      <c r="IU1" t="s">
        <v>1072</v>
      </c>
      <c r="IV1" t="s">
        <v>1073</v>
      </c>
      <c r="IW1" t="s">
        <v>1074</v>
      </c>
      <c r="IX1" t="s">
        <v>1075</v>
      </c>
      <c r="IY1" t="s">
        <v>1076</v>
      </c>
      <c r="IZ1" t="s">
        <v>1077</v>
      </c>
      <c r="JA1" t="s">
        <v>1078</v>
      </c>
      <c r="JB1" t="s">
        <v>1079</v>
      </c>
      <c r="JC1" t="s">
        <v>1080</v>
      </c>
      <c r="JD1" t="s">
        <v>1081</v>
      </c>
      <c r="JE1" t="s">
        <v>1082</v>
      </c>
      <c r="JF1" t="s">
        <v>1083</v>
      </c>
      <c r="JG1" t="s">
        <v>1084</v>
      </c>
      <c r="JH1" t="s">
        <v>1085</v>
      </c>
      <c r="JI1" t="s">
        <v>1086</v>
      </c>
      <c r="JJ1" t="s">
        <v>1087</v>
      </c>
      <c r="JK1" t="s">
        <v>1088</v>
      </c>
      <c r="JL1" t="s">
        <v>1089</v>
      </c>
      <c r="JM1" t="s">
        <v>1090</v>
      </c>
      <c r="JN1" t="s">
        <v>1091</v>
      </c>
      <c r="JO1" t="s">
        <v>1092</v>
      </c>
      <c r="JP1" t="s">
        <v>1093</v>
      </c>
      <c r="JQ1" t="s">
        <v>1094</v>
      </c>
      <c r="JX1" t="s">
        <v>1095</v>
      </c>
      <c r="JY1" t="s">
        <v>1096</v>
      </c>
      <c r="JZ1" t="s">
        <v>1097</v>
      </c>
      <c r="KA1" t="s">
        <v>1098</v>
      </c>
      <c r="KB1" t="s">
        <v>1099</v>
      </c>
      <c r="KC1" t="s">
        <v>1100</v>
      </c>
      <c r="KD1" t="s">
        <v>1101</v>
      </c>
      <c r="KE1" t="s">
        <v>1102</v>
      </c>
      <c r="KF1" t="s">
        <v>1103</v>
      </c>
      <c r="KG1" t="s">
        <v>1104</v>
      </c>
      <c r="KH1" t="s">
        <v>1105</v>
      </c>
      <c r="KI1" t="s">
        <v>1106</v>
      </c>
      <c r="KJ1" t="s">
        <v>1107</v>
      </c>
      <c r="KK1" t="s">
        <v>1108</v>
      </c>
      <c r="KL1" t="s">
        <v>1109</v>
      </c>
      <c r="KM1" t="s">
        <v>1110</v>
      </c>
      <c r="KN1" t="s">
        <v>1111</v>
      </c>
      <c r="KO1" t="s">
        <v>1112</v>
      </c>
      <c r="KP1" t="s">
        <v>1113</v>
      </c>
      <c r="KQ1" t="s">
        <v>1114</v>
      </c>
      <c r="KR1" t="s">
        <v>1115</v>
      </c>
      <c r="KS1" t="s">
        <v>1116</v>
      </c>
      <c r="KT1" t="s">
        <v>1117</v>
      </c>
      <c r="KU1" t="s">
        <v>1118</v>
      </c>
      <c r="KV1" t="s">
        <v>1119</v>
      </c>
      <c r="KW1" t="s">
        <v>1120</v>
      </c>
      <c r="KX1" t="s">
        <v>1121</v>
      </c>
      <c r="KY1" t="s">
        <v>1122</v>
      </c>
      <c r="KZ1" t="s">
        <v>1123</v>
      </c>
      <c r="LA1" t="s">
        <v>1124</v>
      </c>
      <c r="LB1" t="s">
        <v>1125</v>
      </c>
      <c r="LC1" t="s">
        <v>1126</v>
      </c>
      <c r="LD1" t="s">
        <v>1127</v>
      </c>
      <c r="LE1" t="s">
        <v>1128</v>
      </c>
      <c r="LF1" t="s">
        <v>1129</v>
      </c>
      <c r="LG1" t="s">
        <v>1130</v>
      </c>
      <c r="LH1" t="s">
        <v>1131</v>
      </c>
      <c r="LI1" t="s">
        <v>1132</v>
      </c>
      <c r="LJ1" t="s">
        <v>1133</v>
      </c>
      <c r="LK1" t="s">
        <v>1134</v>
      </c>
      <c r="LL1" t="s">
        <v>1135</v>
      </c>
      <c r="LM1" t="s">
        <v>1136</v>
      </c>
      <c r="LN1" t="s">
        <v>1137</v>
      </c>
      <c r="LO1" t="s">
        <v>1138</v>
      </c>
      <c r="LP1" t="s">
        <v>1139</v>
      </c>
      <c r="LQ1" t="s">
        <v>1140</v>
      </c>
      <c r="LR1" t="s">
        <v>1141</v>
      </c>
      <c r="LS1" t="s">
        <v>1142</v>
      </c>
      <c r="LT1" t="s">
        <v>1143</v>
      </c>
      <c r="LU1" t="s">
        <v>1144</v>
      </c>
      <c r="LV1" t="s">
        <v>1145</v>
      </c>
      <c r="LW1" t="s">
        <v>1146</v>
      </c>
      <c r="LX1" t="s">
        <v>1147</v>
      </c>
      <c r="LY1" t="s">
        <v>1148</v>
      </c>
      <c r="LZ1" t="s">
        <v>1149</v>
      </c>
      <c r="MA1" t="s">
        <v>1150</v>
      </c>
      <c r="MB1" t="s">
        <v>1151</v>
      </c>
      <c r="MC1" t="s">
        <v>1152</v>
      </c>
      <c r="MD1" t="s">
        <v>1153</v>
      </c>
      <c r="ME1" t="s">
        <v>1154</v>
      </c>
      <c r="MH1" t="s">
        <v>1155</v>
      </c>
      <c r="MI1" t="s">
        <v>1156</v>
      </c>
      <c r="MJ1" t="s">
        <v>1157</v>
      </c>
      <c r="MK1" t="s">
        <v>1158</v>
      </c>
      <c r="ML1" t="s">
        <v>1159</v>
      </c>
      <c r="MM1" t="s">
        <v>1160</v>
      </c>
      <c r="MN1" t="s">
        <v>1161</v>
      </c>
      <c r="MO1" t="s">
        <v>1162</v>
      </c>
      <c r="MP1" t="s">
        <v>1163</v>
      </c>
    </row>
    <row r="2" spans="1:354" x14ac:dyDescent="0.25">
      <c r="A2" t="str">
        <f>Skötselplan!C1</f>
        <v>Stora Sävsjöns älg- och kronhjortsskötselområde</v>
      </c>
      <c r="B2" t="b">
        <v>1</v>
      </c>
      <c r="C2" t="b">
        <v>0</v>
      </c>
      <c r="D2" t="b">
        <v>0</v>
      </c>
      <c r="E2" t="b">
        <v>1</v>
      </c>
      <c r="F2" t="b">
        <v>0</v>
      </c>
      <c r="G2" s="150">
        <f>Skötselplan!E5</f>
        <v>0</v>
      </c>
      <c r="H2" s="151">
        <f>Skötselplan!C6</f>
        <v>45447</v>
      </c>
      <c r="I2" s="150">
        <f>Skötselplan!C15</f>
        <v>0</v>
      </c>
      <c r="J2" s="90" t="str">
        <f>Skötselplan!C16</f>
        <v>Centrala älgförvaltningsområdet</v>
      </c>
      <c r="K2" t="str">
        <f>Skötselplan!C8</f>
        <v>13-83-24-020-Ä</v>
      </c>
      <c r="L2" s="150"/>
      <c r="M2" s="150"/>
      <c r="N2" s="150"/>
      <c r="O2" s="150"/>
      <c r="R2" s="150"/>
      <c r="S2" s="150"/>
      <c r="T2" s="150"/>
      <c r="U2" s="150"/>
      <c r="Y2" s="150"/>
      <c r="Z2" s="150"/>
      <c r="AA2">
        <f>Skötselplan!C9</f>
        <v>2024</v>
      </c>
      <c r="AB2">
        <f>Skötselplan!E9</f>
        <v>2026</v>
      </c>
      <c r="AC2" s="151">
        <f>Skötselplan!C10</f>
        <v>0</v>
      </c>
      <c r="AD2">
        <f>Skötselplan!C11</f>
        <v>0</v>
      </c>
      <c r="AE2" t="str">
        <f>Skötselplan!C14</f>
        <v>Länsstyrelsen i Hallands län</v>
      </c>
      <c r="AF2">
        <f>Skötselplan!F14</f>
        <v>0</v>
      </c>
      <c r="AG2">
        <f>Skötselplan!C15</f>
        <v>0</v>
      </c>
      <c r="AH2" s="151">
        <f>Skötselplan!C26</f>
        <v>0</v>
      </c>
      <c r="AI2" t="b">
        <v>1</v>
      </c>
      <c r="AJ2" t="b">
        <v>0</v>
      </c>
      <c r="AK2" t="b">
        <v>0</v>
      </c>
      <c r="AN2" t="str">
        <f>Skötselplan!B61</f>
        <v>7.6</v>
      </c>
      <c r="AO2" s="152">
        <f>Skötselplan!B64</f>
        <v>0.4</v>
      </c>
      <c r="AP2" s="153">
        <f>Skötselplan!B65</f>
        <v>0.55000000000000004</v>
      </c>
      <c r="AQ2" s="152">
        <f>Skötselplan!B66</f>
        <v>0.7</v>
      </c>
      <c r="AR2" s="150">
        <f>Skötselplan!B67</f>
        <v>60</v>
      </c>
      <c r="AT2" s="152"/>
      <c r="AU2" s="150"/>
      <c r="AV2" s="150"/>
      <c r="AW2" s="150"/>
      <c r="AX2" s="152"/>
      <c r="AY2" s="150">
        <f>Skötselplan!B86</f>
        <v>8</v>
      </c>
      <c r="AZ2" s="150">
        <f>Skötselplan!B87</f>
        <v>7</v>
      </c>
      <c r="BA2" s="150">
        <f>Skötselplan!B88</f>
        <v>16</v>
      </c>
      <c r="BB2" s="154">
        <f>Skötselplan!B91</f>
        <v>11054</v>
      </c>
      <c r="BC2" s="154">
        <f>Skötselplan!B103</f>
        <v>3237</v>
      </c>
      <c r="BD2" s="154">
        <f>Skötselplan!C103</f>
        <v>2738</v>
      </c>
      <c r="BE2">
        <f>Skötselplan!B104</f>
        <v>7.2900000000000006E-2</v>
      </c>
      <c r="BF2">
        <f>Skötselplan!C104</f>
        <v>8.0399999999999999E-2</v>
      </c>
      <c r="BG2" s="153">
        <f>Skötselplan!B105</f>
        <v>0.52900000000000003</v>
      </c>
      <c r="BH2" s="153">
        <f>Skötselplan!C105</f>
        <v>0.73799999999999999</v>
      </c>
      <c r="BI2" s="152">
        <f>Skötselplan!B106</f>
        <v>0.35399999999999998</v>
      </c>
      <c r="BJ2" s="152">
        <f>Skötselplan!C106</f>
        <v>0.433</v>
      </c>
      <c r="BK2" s="150">
        <f>Skötselplan!B113</f>
        <v>305</v>
      </c>
      <c r="BL2" s="150">
        <f>Skötselplan!C113</f>
        <v>295</v>
      </c>
      <c r="BM2" s="150">
        <f>Skötselplan!D113</f>
        <v>275</v>
      </c>
      <c r="BN2" s="150">
        <f>Skötselplan!E113</f>
        <v>240</v>
      </c>
      <c r="BO2" s="150">
        <f>Skötselplan!F113</f>
        <v>285</v>
      </c>
      <c r="BP2" s="150">
        <f>Skötselplan!G113</f>
        <v>300</v>
      </c>
      <c r="BQ2" s="150">
        <f>Skötselplan!B114</f>
        <v>154</v>
      </c>
      <c r="BR2" s="150">
        <f>Skötselplan!C114</f>
        <v>161</v>
      </c>
      <c r="BS2" s="150">
        <f>Skötselplan!D114</f>
        <v>175</v>
      </c>
      <c r="BT2" s="150">
        <f>Skötselplan!E114</f>
        <v>169</v>
      </c>
      <c r="BU2" s="150">
        <f>Skötselplan!F114</f>
        <v>159</v>
      </c>
      <c r="BV2" s="150">
        <f>Skötselplan!G114</f>
        <v>156</v>
      </c>
      <c r="BW2" s="150">
        <f>Skötselplan!B115</f>
        <v>64</v>
      </c>
      <c r="BX2" s="150">
        <f>Skötselplan!C115</f>
        <v>43</v>
      </c>
      <c r="BY2" s="150">
        <f>Skötselplan!D115</f>
        <v>67</v>
      </c>
      <c r="BZ2" s="150">
        <f>Skötselplan!E115</f>
        <v>53</v>
      </c>
      <c r="CA2" s="150">
        <f>Skötselplan!F115</f>
        <v>44</v>
      </c>
      <c r="CB2" s="150">
        <f>Skötselplan!G115</f>
        <v>58</v>
      </c>
      <c r="CC2" s="150" t="str">
        <f>Skötselplan!B116</f>
        <v>16.63</v>
      </c>
      <c r="CD2" s="150">
        <f>Skötselplan!C116</f>
        <v>0</v>
      </c>
      <c r="CE2" s="150">
        <f>Skötselplan!D116</f>
        <v>0</v>
      </c>
      <c r="CF2" s="150">
        <f>Skötselplan!E116</f>
        <v>0</v>
      </c>
      <c r="CG2" s="150">
        <f>Skötselplan!F116</f>
        <v>0</v>
      </c>
      <c r="CH2" s="150">
        <f>Skötselplan!G116</f>
        <v>0</v>
      </c>
      <c r="CI2" s="150">
        <f>Skötselplan!B131</f>
        <v>0</v>
      </c>
      <c r="CJ2" s="150">
        <f>Skötselplan!C131</f>
        <v>0</v>
      </c>
      <c r="CK2" s="150">
        <f>Skötselplan!D131</f>
        <v>0</v>
      </c>
      <c r="CL2" s="150">
        <f>Skötselplan!E131</f>
        <v>0</v>
      </c>
      <c r="CM2" s="150">
        <f>Skötselplan!F131</f>
        <v>0</v>
      </c>
      <c r="CN2" s="150">
        <f>Skötselplan!B132</f>
        <v>51</v>
      </c>
      <c r="CO2" s="150">
        <f>Skötselplan!C132</f>
        <v>52</v>
      </c>
      <c r="CP2" s="150">
        <f>Skötselplan!D132</f>
        <v>50</v>
      </c>
      <c r="CQ2" s="150">
        <f>Skötselplan!E132</f>
        <v>46</v>
      </c>
      <c r="CR2" s="150">
        <f>Skötselplan!F132</f>
        <v>59</v>
      </c>
      <c r="CS2" s="150">
        <f>Skötselplan!B133</f>
        <v>51</v>
      </c>
      <c r="CT2" s="150">
        <f>Skötselplan!C133</f>
        <v>52</v>
      </c>
      <c r="CU2" s="150">
        <f>Skötselplan!D133</f>
        <v>50</v>
      </c>
      <c r="CV2" s="150">
        <f>Skötselplan!E133</f>
        <v>46</v>
      </c>
      <c r="CW2" s="150">
        <f>Skötselplan!F133</f>
        <v>59</v>
      </c>
      <c r="CX2" s="150">
        <f>Skötselplan!B151</f>
        <v>1</v>
      </c>
      <c r="CY2" s="150">
        <f>Skötselplan!C151</f>
        <v>3</v>
      </c>
      <c r="CZ2" s="150">
        <f>Skötselplan!D151</f>
        <v>3</v>
      </c>
      <c r="DA2" s="150">
        <f>Skötselplan!E151</f>
        <v>3</v>
      </c>
      <c r="DB2" s="150">
        <f>Skötselplan!F151</f>
        <v>8</v>
      </c>
      <c r="DC2" s="150">
        <f>Skötselplan!B153</f>
        <v>3</v>
      </c>
      <c r="DD2" s="150">
        <f>Skötselplan!C153</f>
        <v>2</v>
      </c>
      <c r="DE2" s="150">
        <f>Skötselplan!D153</f>
        <v>4</v>
      </c>
      <c r="DF2" s="150">
        <f>Skötselplan!E153</f>
        <v>4</v>
      </c>
      <c r="DG2" s="150">
        <f>Skötselplan!F153</f>
        <v>2</v>
      </c>
      <c r="DH2" s="150" t="str">
        <f>Skötselplan!B161</f>
        <v>0.0</v>
      </c>
      <c r="DI2" s="150" t="str">
        <f>Skötselplan!C161</f>
        <v>0.0</v>
      </c>
      <c r="DJ2" s="150" t="str">
        <f>Skötselplan!D161</f>
        <v>0.0</v>
      </c>
      <c r="DK2" s="150" t="str">
        <f>Skötselplan!E161</f>
        <v>0.0</v>
      </c>
      <c r="DL2" s="150" t="str">
        <f>Skötselplan!F161</f>
        <v>0.0</v>
      </c>
      <c r="DM2">
        <f>Skötselplan!B167</f>
        <v>0</v>
      </c>
      <c r="DN2">
        <f>Skötselplan!C167</f>
        <v>0</v>
      </c>
      <c r="DO2">
        <f>Skötselplan!D167</f>
        <v>0</v>
      </c>
      <c r="DP2" s="150">
        <f>Skötselplan!B168</f>
        <v>0</v>
      </c>
      <c r="DQ2" s="150">
        <f>Skötselplan!C168</f>
        <v>0</v>
      </c>
      <c r="DR2" s="150">
        <f>Skötselplan!D168</f>
        <v>0</v>
      </c>
      <c r="DS2" s="150">
        <f>Skötselplan!B169</f>
        <v>0</v>
      </c>
      <c r="DT2" s="150">
        <f>Skötselplan!C169</f>
        <v>0</v>
      </c>
      <c r="DU2" s="150">
        <f>Skötselplan!D169</f>
        <v>0</v>
      </c>
      <c r="DV2" s="150">
        <f>Skötselplan!B170</f>
        <v>0</v>
      </c>
      <c r="DW2" s="150">
        <f>Skötselplan!C170</f>
        <v>0</v>
      </c>
      <c r="DX2" s="150">
        <f>Skötselplan!D170</f>
        <v>0</v>
      </c>
      <c r="DY2" s="150">
        <f>Skötselplan!B171</f>
        <v>0</v>
      </c>
      <c r="DZ2" s="150">
        <f>Skötselplan!C171</f>
        <v>0</v>
      </c>
      <c r="EA2" s="150">
        <f>Skötselplan!D171</f>
        <v>0</v>
      </c>
      <c r="EB2" t="b">
        <v>0</v>
      </c>
      <c r="EC2" t="b">
        <v>0</v>
      </c>
      <c r="ED2" t="b">
        <v>1</v>
      </c>
      <c r="EE2">
        <f>Skötselplan!B180</f>
        <v>0</v>
      </c>
      <c r="EF2">
        <f>Skötselplan!C180</f>
        <v>0</v>
      </c>
      <c r="EG2">
        <f>Skötselplan!D180</f>
        <v>0</v>
      </c>
      <c r="EH2">
        <f>Skötselplan!E180</f>
        <v>0</v>
      </c>
      <c r="EI2">
        <f>Skötselplan!F180</f>
        <v>5.8</v>
      </c>
      <c r="EJ2" s="150"/>
      <c r="EK2" s="150"/>
      <c r="EL2" t="b">
        <v>1</v>
      </c>
      <c r="EM2" t="b">
        <v>0</v>
      </c>
      <c r="EN2" t="b">
        <v>0</v>
      </c>
      <c r="EO2" t="b">
        <v>1</v>
      </c>
      <c r="EP2" t="b">
        <v>0</v>
      </c>
      <c r="EQ2" t="b">
        <v>0</v>
      </c>
      <c r="ER2" t="b">
        <v>1</v>
      </c>
      <c r="ES2" t="b">
        <v>0</v>
      </c>
      <c r="ET2" t="b">
        <v>0</v>
      </c>
      <c r="EU2" t="b">
        <v>0</v>
      </c>
      <c r="EV2" t="b">
        <v>0</v>
      </c>
      <c r="EW2" t="b">
        <v>1</v>
      </c>
      <c r="EZ2" s="150"/>
      <c r="FB2" s="150"/>
      <c r="FC2" s="150"/>
      <c r="FD2" s="90"/>
      <c r="FE2" s="154">
        <f>Skötselplan!B231</f>
        <v>6843</v>
      </c>
      <c r="FF2" s="154">
        <f>Skötselplan!C231</f>
        <v>6921</v>
      </c>
      <c r="FG2" s="154">
        <f>Skötselplan!D231</f>
        <v>7046</v>
      </c>
      <c r="FH2" s="154">
        <f>Skötselplan!E231</f>
        <v>7137</v>
      </c>
      <c r="FI2" s="154">
        <f>Skötselplan!F231</f>
        <v>7282</v>
      </c>
      <c r="FJ2" s="154">
        <f>Skötselplan!G231</f>
        <v>7413</v>
      </c>
      <c r="FK2" s="154">
        <f>Skötselplan!H231</f>
        <v>7489</v>
      </c>
      <c r="FL2" s="152" t="str">
        <f>Skötselplan!C232</f>
        <v/>
      </c>
      <c r="FM2" s="152">
        <f>Skötselplan!D232</f>
        <v>0.68</v>
      </c>
      <c r="FN2" s="152" t="str">
        <f>Skötselplan!E232</f>
        <v/>
      </c>
      <c r="FO2" t="b">
        <v>0</v>
      </c>
      <c r="FP2" t="b">
        <v>1</v>
      </c>
      <c r="FQ2" t="b">
        <v>0</v>
      </c>
      <c r="FS2" s="152"/>
      <c r="FT2" s="152"/>
      <c r="FU2" s="152"/>
      <c r="FV2" s="152"/>
      <c r="GL2" t="b">
        <v>1</v>
      </c>
      <c r="GM2" t="b">
        <v>0</v>
      </c>
      <c r="GN2" t="b">
        <v>1</v>
      </c>
      <c r="GO2" t="b">
        <v>0</v>
      </c>
      <c r="GP2" t="str">
        <f>Skötselplan!D251</f>
        <v>Välj i lista</v>
      </c>
      <c r="GQ2" t="str">
        <f>Skötselplan!E251</f>
        <v>Välj i lista</v>
      </c>
      <c r="GR2" t="str">
        <f>Skötselplan!F251</f>
        <v>Välj i lista</v>
      </c>
      <c r="GS2" s="90" t="str">
        <f>Skötselplan!B253</f>
        <v>Rapport vid samrådsmöte med jaktledare och markägare inför ny skötselplan.</v>
      </c>
      <c r="GT2" t="b">
        <v>1</v>
      </c>
      <c r="GU2" t="b">
        <v>0</v>
      </c>
      <c r="GV2" s="90">
        <f>Skötselplan!A265</f>
        <v>0</v>
      </c>
      <c r="GW2" s="150">
        <f>Skötselplan!B273</f>
        <v>1</v>
      </c>
      <c r="GX2" s="150">
        <f>Skötselplan!C273</f>
        <v>0</v>
      </c>
      <c r="GY2" s="150">
        <f>Skötselplan!D273</f>
        <v>0</v>
      </c>
      <c r="GZ2" s="150">
        <f>Skötselplan!B274</f>
        <v>0</v>
      </c>
      <c r="HA2" s="150">
        <f>Skötselplan!C274</f>
        <v>0</v>
      </c>
      <c r="HB2" s="150">
        <f>Skötselplan!D274</f>
        <v>0</v>
      </c>
      <c r="HC2" s="150">
        <f>Skötselplan!B275</f>
        <v>0</v>
      </c>
      <c r="HD2" s="150">
        <f>Skötselplan!C275</f>
        <v>0</v>
      </c>
      <c r="HE2" s="150">
        <f>Skötselplan!D275</f>
        <v>0</v>
      </c>
      <c r="HF2" s="150">
        <f>Skötselplan!B283</f>
        <v>1</v>
      </c>
      <c r="HG2" s="150">
        <f>Skötselplan!C283</f>
        <v>0</v>
      </c>
      <c r="HH2" s="150">
        <f>Skötselplan!D283</f>
        <v>0</v>
      </c>
      <c r="HI2" s="150">
        <f>Skötselplan!B281</f>
        <v>0</v>
      </c>
      <c r="HJ2" s="150">
        <f>Skötselplan!C281</f>
        <v>1</v>
      </c>
      <c r="HK2" s="150">
        <f>Skötselplan!D281</f>
        <v>3</v>
      </c>
      <c r="HL2" s="150">
        <f>Skötselplan!B282</f>
        <v>1</v>
      </c>
      <c r="HM2" s="150">
        <f>Skötselplan!C282</f>
        <v>1</v>
      </c>
      <c r="HN2" s="150">
        <f>Skötselplan!D282</f>
        <v>0</v>
      </c>
      <c r="HO2" s="150">
        <f>Skötselplan!B283</f>
        <v>1</v>
      </c>
      <c r="HP2" s="150">
        <f>Skötselplan!C283</f>
        <v>0</v>
      </c>
      <c r="HQ2" s="150">
        <f>Skötselplan!D283</f>
        <v>0</v>
      </c>
      <c r="HR2" s="90">
        <f>Skötselplan!A290</f>
        <v>0</v>
      </c>
      <c r="HS2" s="90">
        <f>Skötselplan!B290</f>
        <v>0</v>
      </c>
      <c r="HT2" s="90">
        <f>Skötselplan!C290</f>
        <v>0</v>
      </c>
      <c r="HU2" s="150">
        <f>Skötselplan!A291</f>
        <v>0</v>
      </c>
      <c r="HV2" s="150">
        <f>Skötselplan!B291</f>
        <v>0</v>
      </c>
      <c r="HW2" s="150">
        <f>Skötselplan!C291</f>
        <v>0</v>
      </c>
      <c r="HX2" s="90">
        <f>Skötselplan!A292</f>
        <v>0</v>
      </c>
      <c r="HY2" s="90">
        <f>Skötselplan!B292</f>
        <v>0</v>
      </c>
      <c r="HZ2" s="90">
        <f>Skötselplan!C292</f>
        <v>0</v>
      </c>
      <c r="IA2" s="90">
        <f>Skötselplan!A293</f>
        <v>0</v>
      </c>
      <c r="IB2" s="90">
        <f>Skötselplan!B293</f>
        <v>0</v>
      </c>
      <c r="IC2" s="90">
        <f>Skötselplan!C293</f>
        <v>0</v>
      </c>
      <c r="ID2" s="90">
        <f>Skötselplan!A294</f>
        <v>0</v>
      </c>
      <c r="IE2" s="90">
        <f>Skötselplan!B294</f>
        <v>0</v>
      </c>
      <c r="IF2" s="90">
        <f>Skötselplan!C294</f>
        <v>0</v>
      </c>
      <c r="IG2">
        <f>Skötselplan!A298</f>
        <v>0</v>
      </c>
      <c r="IH2" s="153">
        <f>Skötselplan!C298</f>
        <v>0</v>
      </c>
      <c r="II2">
        <f>Skötselplan!$E310</f>
        <v>0</v>
      </c>
      <c r="IJ2">
        <f>Skötselplan!$E311</f>
        <v>0</v>
      </c>
      <c r="IK2">
        <f>Skötselplan!$E312</f>
        <v>0</v>
      </c>
      <c r="IL2">
        <f>Skötselplan!$E313</f>
        <v>0</v>
      </c>
      <c r="IM2">
        <f>Skötselplan!$E314</f>
        <v>0</v>
      </c>
      <c r="IN2">
        <f>Skötselplan!$E315</f>
        <v>0</v>
      </c>
      <c r="IO2">
        <f>Skötselplan!$E316</f>
        <v>0</v>
      </c>
      <c r="IP2">
        <f>Skötselplan!$E317</f>
        <v>0</v>
      </c>
      <c r="IQ2">
        <f>Skötselplan!$E318</f>
        <v>0</v>
      </c>
      <c r="IR2">
        <f>Skötselplan!$E319</f>
        <v>0</v>
      </c>
      <c r="IS2">
        <f>Skötselplan!$E320</f>
        <v>0</v>
      </c>
      <c r="IT2">
        <f>Skötselplan!$E321</f>
        <v>0</v>
      </c>
      <c r="IU2" s="90">
        <f>Skötselplan!F310</f>
        <v>0</v>
      </c>
      <c r="IV2" s="90">
        <f>Skötselplan!F311</f>
        <v>0</v>
      </c>
      <c r="IW2" s="90">
        <f>Skötselplan!F312</f>
        <v>0</v>
      </c>
      <c r="IX2" s="90">
        <f>Skötselplan!F313</f>
        <v>0</v>
      </c>
      <c r="IY2" s="90">
        <f>Skötselplan!F314</f>
        <v>0</v>
      </c>
      <c r="IZ2" s="90">
        <f>Skötselplan!F315</f>
        <v>0</v>
      </c>
      <c r="JA2" s="90">
        <f>Skötselplan!F316</f>
        <v>0</v>
      </c>
      <c r="JB2" s="90">
        <f>Skötselplan!F317</f>
        <v>0</v>
      </c>
      <c r="JC2" s="90">
        <f>Skötselplan!F318</f>
        <v>0</v>
      </c>
      <c r="JD2" s="90">
        <f>Skötselplan!F319</f>
        <v>0</v>
      </c>
      <c r="JE2" s="90">
        <f>Skötselplan!F320</f>
        <v>0</v>
      </c>
      <c r="JF2" s="90">
        <f>Skötselplan!F321</f>
        <v>0</v>
      </c>
      <c r="JG2" s="150">
        <f>Skötselplan!B329</f>
        <v>1</v>
      </c>
      <c r="JH2" s="150">
        <f>Skötselplan!C329</f>
        <v>1</v>
      </c>
      <c r="JI2" s="150">
        <f>Skötselplan!D329</f>
        <v>1</v>
      </c>
      <c r="JJ2" s="150">
        <f>Skötselplan!B330</f>
        <v>2</v>
      </c>
      <c r="JK2" s="150">
        <f>Skötselplan!C330</f>
        <v>2</v>
      </c>
      <c r="JL2" s="150">
        <f>Skötselplan!D330</f>
        <v>2</v>
      </c>
      <c r="JM2" s="150">
        <f>Skötselplan!B331</f>
        <v>8</v>
      </c>
      <c r="JN2" s="150">
        <f>Skötselplan!C331</f>
        <v>8</v>
      </c>
      <c r="JO2" s="150">
        <f>Skötselplan!D331</f>
        <v>8</v>
      </c>
      <c r="JP2" t="b">
        <v>1</v>
      </c>
      <c r="JQ2" t="b">
        <v>0</v>
      </c>
      <c r="JS2" s="152"/>
      <c r="JT2" s="152"/>
      <c r="JU2" s="152"/>
      <c r="JV2" s="150"/>
      <c r="JW2" s="150"/>
      <c r="JX2" t="b">
        <v>0</v>
      </c>
      <c r="JY2" t="b">
        <v>0</v>
      </c>
      <c r="JZ2" t="b">
        <v>0</v>
      </c>
      <c r="KA2" t="b">
        <v>1</v>
      </c>
      <c r="KB2" t="b">
        <v>1</v>
      </c>
      <c r="KC2" t="b">
        <v>1</v>
      </c>
      <c r="KD2" t="b">
        <v>0</v>
      </c>
      <c r="KE2" t="b">
        <v>0</v>
      </c>
      <c r="KF2" t="b">
        <v>0</v>
      </c>
      <c r="KG2" t="b">
        <v>1</v>
      </c>
      <c r="KH2" t="b">
        <v>1</v>
      </c>
      <c r="KI2" t="b">
        <v>1</v>
      </c>
      <c r="KJ2" t="b">
        <v>1</v>
      </c>
      <c r="KK2" t="b">
        <v>1</v>
      </c>
      <c r="KL2" t="b">
        <v>1</v>
      </c>
      <c r="KM2" t="b">
        <v>1</v>
      </c>
      <c r="KN2" t="b">
        <v>1</v>
      </c>
      <c r="KO2" t="b">
        <v>1</v>
      </c>
      <c r="KP2" t="b">
        <v>0</v>
      </c>
      <c r="KQ2" t="b">
        <v>0</v>
      </c>
      <c r="KR2" t="b">
        <v>0</v>
      </c>
      <c r="KS2">
        <f>Skötselplan!B375</f>
        <v>0</v>
      </c>
      <c r="KT2">
        <f>Skötselplan!C375</f>
        <v>0</v>
      </c>
      <c r="KU2">
        <f>Skötselplan!D375</f>
        <v>0</v>
      </c>
      <c r="KV2" s="152">
        <f>Skötselplan!B376</f>
        <v>0</v>
      </c>
      <c r="KW2" s="152">
        <f>Skötselplan!C376</f>
        <v>0</v>
      </c>
      <c r="KX2" s="152">
        <f>Skötselplan!D376</f>
        <v>0</v>
      </c>
      <c r="KY2" s="153">
        <f>Skötselplan!B377</f>
        <v>0</v>
      </c>
      <c r="KZ2" s="153">
        <f>Skötselplan!C377</f>
        <v>0</v>
      </c>
      <c r="LA2" s="153">
        <f>Skötselplan!D377</f>
        <v>0</v>
      </c>
      <c r="LB2" s="152">
        <f>Skötselplan!B378</f>
        <v>0</v>
      </c>
      <c r="LC2" s="152">
        <f>Skötselplan!C378</f>
        <v>0</v>
      </c>
      <c r="LD2" s="152">
        <f>Skötselplan!D378</f>
        <v>0</v>
      </c>
      <c r="LE2" t="b">
        <v>1</v>
      </c>
      <c r="LF2" t="b">
        <v>1</v>
      </c>
      <c r="LG2" t="b">
        <v>1</v>
      </c>
      <c r="LH2" t="b">
        <v>1</v>
      </c>
      <c r="LI2" s="90">
        <f>Skötselplan!B51</f>
        <v>0</v>
      </c>
      <c r="LJ2" s="90" t="str">
        <f>Skötselplan!A97</f>
        <v>Älgstammen är starkt vikande, vilket älgobs och avskjutning ger uttryck för.</v>
      </c>
      <c r="LK2" s="90">
        <f>Skötselplan!A98</f>
        <v>0</v>
      </c>
      <c r="LL2" s="90">
        <f>Skötselplan!A108</f>
        <v>0</v>
      </c>
      <c r="LM2" s="90">
        <f>Skötselplan!A109</f>
        <v>0</v>
      </c>
      <c r="LN2" s="90" t="str">
        <f>Skötselplan!A123</f>
        <v>På en fastighet med provyta var nyligen avverkad tall, därav blev det mycket höga tal.</v>
      </c>
      <c r="LO2" s="90">
        <f>Skötselplan!A124</f>
        <v>0</v>
      </c>
      <c r="LP2" s="90" t="str">
        <f>Skötselplan!A135</f>
        <v>Positivt att slaktvikt för kalv ökat, dock är det ofta stor skillnad mellan lägsta och högsta slaktvikt. Kor som brunstat om och fött kalv senare?</v>
      </c>
      <c r="LQ2" s="90">
        <f>Skötselplan!A136</f>
        <v>0</v>
      </c>
      <c r="LR2" s="90">
        <f>Skötselplan!A145</f>
        <v>0</v>
      </c>
      <c r="LS2" s="90">
        <f>Skötselplan!A146</f>
        <v>0</v>
      </c>
      <c r="LT2" s="90">
        <f>Skötselplan!C155</f>
        <v>0</v>
      </c>
      <c r="LU2" s="90">
        <f>Skötselplan!C156</f>
        <v>0</v>
      </c>
      <c r="LV2" s="90">
        <f>Skötselplan!A163</f>
        <v>0</v>
      </c>
      <c r="LW2" s="90">
        <f>Skötselplan!A164</f>
        <v>0</v>
      </c>
      <c r="LX2" s="90">
        <f>Skötselplan!C173</f>
        <v>0</v>
      </c>
      <c r="LY2" s="90">
        <f>Skötselplan!A174</f>
        <v>0</v>
      </c>
      <c r="LZ2" s="90">
        <f>Skötselplan!A255</f>
        <v>0</v>
      </c>
      <c r="MA2" s="90">
        <f>Skötselplan!A256</f>
        <v>0</v>
      </c>
      <c r="MB2" s="90">
        <f>Skötselplan!A257</f>
        <v>0</v>
      </c>
      <c r="MC2" s="90">
        <f>Skötselplan!A258</f>
        <v>0</v>
      </c>
      <c r="MD2" s="90">
        <f>Skötselplan!A339</f>
        <v>0</v>
      </c>
      <c r="ME2" s="90">
        <f>Skötselplan!A340</f>
        <v>0</v>
      </c>
      <c r="MF2" s="90"/>
      <c r="MG2" s="90"/>
      <c r="MH2" s="90">
        <f>Skötselplan!A352</f>
        <v>0</v>
      </c>
      <c r="MI2" s="90">
        <f>Skötselplan!A353</f>
        <v>0</v>
      </c>
      <c r="MJ2" t="str">
        <f>Skötselplan!A366</f>
        <v>Johan Herbertsson</v>
      </c>
      <c r="MK2">
        <f>Skötselplan!A374</f>
        <v>0</v>
      </c>
      <c r="ML2">
        <f>Skötselplan!D368</f>
        <v>0</v>
      </c>
      <c r="MM2">
        <f>Skötselplan!D369</f>
        <v>0</v>
      </c>
      <c r="MN2">
        <f>Skötselplan!A376</f>
        <v>0</v>
      </c>
      <c r="MO2">
        <f>Skötselplan!A377</f>
        <v>0</v>
      </c>
      <c r="MP2">
        <f>Skötselplan!A378</f>
        <v>0</v>
      </c>
    </row>
    <row r="3" spans="1:354" s="90" customFormat="1" x14ac:dyDescent="0.25"/>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Blad41"/>
  <dimension ref="A1:M210"/>
  <sheetViews>
    <sheetView topLeftCell="A112" zoomScale="85" zoomScaleNormal="85" zoomScalePageLayoutView="85" workbookViewId="0">
      <selection activeCell="C131" sqref="C131"/>
    </sheetView>
  </sheetViews>
  <sheetFormatPr defaultColWidth="9.140625" defaultRowHeight="12.75" x14ac:dyDescent="0.2"/>
  <cols>
    <col min="1" max="1" width="29.5703125" style="155" customWidth="1"/>
    <col min="2" max="6" width="14.7109375" style="155" customWidth="1"/>
    <col min="7" max="7" width="13.28515625" style="155" bestFit="1" customWidth="1"/>
    <col min="8" max="8" width="12.5703125" style="155" bestFit="1" customWidth="1"/>
    <col min="9" max="9" width="13.85546875" style="155" customWidth="1"/>
    <col min="10" max="10" width="9.140625" style="155" customWidth="1"/>
    <col min="11" max="11" width="11.140625" style="155" customWidth="1"/>
    <col min="12" max="12" width="9.140625" style="155" customWidth="1"/>
    <col min="13" max="13" width="103.140625" style="155" bestFit="1" customWidth="1"/>
    <col min="14" max="14" width="9.140625" style="155" customWidth="1"/>
    <col min="15" max="16384" width="9.140625" style="155"/>
  </cols>
  <sheetData>
    <row r="1" spans="1:13" customFormat="1" ht="20.25" customHeight="1" x14ac:dyDescent="0.3">
      <c r="A1" s="391" t="s">
        <v>1164</v>
      </c>
      <c r="B1" s="391"/>
      <c r="C1" s="391"/>
      <c r="D1" s="391"/>
      <c r="E1" s="158" t="str">
        <f>IF(Skötselplan!C1&gt;0,Skötselplan!C1,"")</f>
        <v>Stora Sävsjöns älg- och kronhjortsskötselområde</v>
      </c>
      <c r="F1" s="156"/>
      <c r="M1" s="253" t="s">
        <v>1165</v>
      </c>
    </row>
    <row r="2" spans="1:13" x14ac:dyDescent="0.2">
      <c r="A2" s="156" t="s">
        <v>1166</v>
      </c>
    </row>
    <row r="4" spans="1:13" customFormat="1" ht="15" customHeight="1" x14ac:dyDescent="0.25">
      <c r="A4" s="91" t="s">
        <v>1167</v>
      </c>
      <c r="B4" s="95"/>
      <c r="C4" s="95"/>
      <c r="D4" s="95"/>
    </row>
    <row r="5" spans="1:13" x14ac:dyDescent="0.2">
      <c r="A5" s="112" t="s">
        <v>190</v>
      </c>
      <c r="B5" s="95"/>
      <c r="C5" s="95"/>
      <c r="D5" s="95"/>
    </row>
    <row r="6" spans="1:13" customFormat="1" ht="15" customHeight="1" x14ac:dyDescent="0.25">
      <c r="A6" s="65" t="s">
        <v>192</v>
      </c>
      <c r="B6" s="19">
        <f>Skötselplan!B85</f>
        <v>2021</v>
      </c>
      <c r="C6" s="19">
        <f>Skötselplan!C85</f>
        <v>2022</v>
      </c>
      <c r="D6" s="19">
        <f>Skötselplan!D85</f>
        <v>2023</v>
      </c>
      <c r="E6" s="19" t="s">
        <v>285</v>
      </c>
      <c r="M6" s="254" t="str">
        <f>Skötselplan!A81</f>
        <v>2.1 Uppgifter om älgstammen inom älgskötselområdet</v>
      </c>
    </row>
    <row r="7" spans="1:13" customFormat="1" ht="15" customHeight="1" x14ac:dyDescent="0.25">
      <c r="A7" s="81" t="s">
        <v>147</v>
      </c>
      <c r="B7" s="255">
        <f>Skötselplan!B86</f>
        <v>8</v>
      </c>
      <c r="C7" s="255">
        <f>Skötselplan!C86</f>
        <v>8</v>
      </c>
      <c r="D7" s="255">
        <f>Skötselplan!D86</f>
        <v>6</v>
      </c>
      <c r="E7" s="19">
        <f>SUM(B7:D7)</f>
        <v>22</v>
      </c>
    </row>
    <row r="8" spans="1:13" customFormat="1" ht="15" customHeight="1" x14ac:dyDescent="0.25">
      <c r="A8" s="81" t="s">
        <v>194</v>
      </c>
      <c r="B8" s="255">
        <f>Skötselplan!B87</f>
        <v>7</v>
      </c>
      <c r="C8" s="255">
        <f>Skötselplan!C87</f>
        <v>6</v>
      </c>
      <c r="D8" s="255">
        <f>Skötselplan!D87</f>
        <v>2</v>
      </c>
      <c r="E8" s="19">
        <f>SUM(B8:D8)</f>
        <v>15</v>
      </c>
    </row>
    <row r="9" spans="1:13" customFormat="1" ht="15" customHeight="1" x14ac:dyDescent="0.25">
      <c r="A9" s="81" t="s">
        <v>151</v>
      </c>
      <c r="B9" s="255">
        <f>Skötselplan!B88</f>
        <v>16</v>
      </c>
      <c r="C9" s="255">
        <f>Skötselplan!C88</f>
        <v>11</v>
      </c>
      <c r="D9" s="255">
        <f>Skötselplan!D88</f>
        <v>5</v>
      </c>
      <c r="E9" s="19">
        <f>SUM(B9:D9)</f>
        <v>32</v>
      </c>
    </row>
    <row r="10" spans="1:13" customFormat="1" ht="15" customHeight="1" x14ac:dyDescent="0.25">
      <c r="A10" s="81" t="s">
        <v>153</v>
      </c>
      <c r="B10" s="46">
        <f>IF(B7+B8+B9&gt;0,SUM(B7:B9),"")</f>
        <v>31</v>
      </c>
      <c r="C10" s="19">
        <f>IF(C7+C8+C9&gt;0,SUM(C7:C9),"")</f>
        <v>25</v>
      </c>
      <c r="D10" s="19">
        <f>IF(D7+D8+D9&gt;0,SUM(D7:D9),"")</f>
        <v>13</v>
      </c>
      <c r="E10" s="19">
        <f>SUM(B10:D10)</f>
        <v>69</v>
      </c>
    </row>
    <row r="11" spans="1:13" customFormat="1" ht="15" customHeight="1" x14ac:dyDescent="0.25">
      <c r="A11" s="81" t="s">
        <v>1168</v>
      </c>
      <c r="B11" s="256">
        <f>Skötselplan!B91</f>
        <v>11054</v>
      </c>
      <c r="C11" s="256">
        <f>Skötselplan!C91</f>
        <v>11054</v>
      </c>
      <c r="D11" s="256">
        <f>Skötselplan!D91</f>
        <v>11054</v>
      </c>
      <c r="E11" s="19" t="s">
        <v>300</v>
      </c>
    </row>
    <row r="12" spans="1:13" customFormat="1" ht="15" customHeight="1" x14ac:dyDescent="0.25">
      <c r="A12" s="81" t="s">
        <v>196</v>
      </c>
      <c r="B12" s="44">
        <f>IF(B7+B8+B9&gt;0,B10/B11*1000,"")</f>
        <v>2.8044146915143839</v>
      </c>
      <c r="C12" s="44">
        <f>IF(C7+C8+C9&gt;0,C10/C11*1000,"")</f>
        <v>2.2616247512212775</v>
      </c>
      <c r="D12" s="44">
        <f>IF(D7+D8+D9&gt;0,D10/D11*1000,"")</f>
        <v>1.1760448706350644</v>
      </c>
      <c r="E12" s="44">
        <f>IF(E10&gt;0,AVERAGE(B12:D12),0)</f>
        <v>2.0806947711235755</v>
      </c>
    </row>
    <row r="13" spans="1:13" x14ac:dyDescent="0.2">
      <c r="A13" s="112" t="s">
        <v>1169</v>
      </c>
      <c r="B13" s="112"/>
      <c r="C13" s="95"/>
      <c r="D13" s="95"/>
      <c r="E13" s="95"/>
    </row>
    <row r="14" spans="1:13" customFormat="1" ht="15" customHeight="1" x14ac:dyDescent="0.25">
      <c r="A14" s="65" t="s">
        <v>192</v>
      </c>
      <c r="B14" s="19">
        <f>B6</f>
        <v>2021</v>
      </c>
      <c r="C14" s="19">
        <f>C6</f>
        <v>2022</v>
      </c>
      <c r="D14" s="19">
        <f>D6</f>
        <v>2023</v>
      </c>
    </row>
    <row r="15" spans="1:13" customFormat="1" ht="15" customHeight="1" x14ac:dyDescent="0.25">
      <c r="A15" s="81" t="s">
        <v>201</v>
      </c>
      <c r="B15" s="45">
        <f>IF(B7+B8&gt;0,B7/(B7+B8),"")</f>
        <v>0.53333333333333333</v>
      </c>
      <c r="C15" s="45">
        <f>IF(C7+C8&gt;0,C7/(C7+C8),"")</f>
        <v>0.5714285714285714</v>
      </c>
      <c r="D15" s="45">
        <f>IF(D7+D8&gt;0,D7/(D7+D8),"")</f>
        <v>0.75</v>
      </c>
    </row>
    <row r="16" spans="1:13" customFormat="1" ht="15" customHeight="1" x14ac:dyDescent="0.25">
      <c r="A16" s="81" t="s">
        <v>203</v>
      </c>
      <c r="B16" s="45">
        <f>IF(B9&gt;0,B9/B10,"")</f>
        <v>0.5161290322580645</v>
      </c>
      <c r="C16" s="45">
        <f>IF(C9&gt;0,C9/C10,"")</f>
        <v>0.44</v>
      </c>
      <c r="D16" s="45">
        <f>IF(D9&gt;0,D9/D10,"")</f>
        <v>0.38461538461538464</v>
      </c>
    </row>
    <row r="18" spans="1:13" customFormat="1" ht="15" customHeight="1" x14ac:dyDescent="0.25">
      <c r="A18" s="91" t="s">
        <v>1170</v>
      </c>
    </row>
    <row r="19" spans="1:13" customFormat="1" ht="15" customHeight="1" x14ac:dyDescent="0.25">
      <c r="A19" s="65" t="s">
        <v>192</v>
      </c>
      <c r="B19" s="19">
        <f>Skötselplan!B280</f>
        <v>2021</v>
      </c>
      <c r="C19" s="19">
        <f>Skötselplan!C280</f>
        <v>2022</v>
      </c>
      <c r="D19" s="19">
        <f>Skötselplan!D280</f>
        <v>2023</v>
      </c>
      <c r="E19" s="19" t="s">
        <v>285</v>
      </c>
      <c r="F19" s="159">
        <f>COUNT(B19:D19)</f>
        <v>3</v>
      </c>
    </row>
    <row r="20" spans="1:13" customFormat="1" ht="15" customHeight="1" x14ac:dyDescent="0.25">
      <c r="A20" s="81" t="s">
        <v>314</v>
      </c>
      <c r="B20" s="255" t="str">
        <f>Skötselplan!B278</f>
        <v/>
      </c>
      <c r="C20" s="255" t="str">
        <f>Skötselplan!C278</f>
        <v/>
      </c>
      <c r="D20" s="255" t="str">
        <f>Skötselplan!D278</f>
        <v/>
      </c>
      <c r="E20" s="19">
        <f>SUM(B20:D20)</f>
        <v>0</v>
      </c>
      <c r="M20" s="254" t="str">
        <f>Skötselplan!A270</f>
        <v xml:space="preserve">2.4 Redovisning av rapporterade viltolyckor med älg </v>
      </c>
    </row>
    <row r="21" spans="1:13" customFormat="1" ht="15" customHeight="1" x14ac:dyDescent="0.25">
      <c r="A21" s="81" t="s">
        <v>1171</v>
      </c>
      <c r="B21" s="255" t="str">
        <f>Skötselplan!F300</f>
        <v/>
      </c>
      <c r="C21" s="255" t="str">
        <f>Skötselplan!F300</f>
        <v/>
      </c>
      <c r="D21" s="255" t="str">
        <f>Skötselplan!F300</f>
        <v/>
      </c>
      <c r="E21" s="19">
        <f>SUM(B21:D21)</f>
        <v>0</v>
      </c>
      <c r="M21" s="254" t="str">
        <f>Skötselplan!A287</f>
        <v xml:space="preserve">2.6 Redovisning av rovdjursförekomst och predationstryck </v>
      </c>
    </row>
    <row r="22" spans="1:13" customFormat="1" ht="15" customHeight="1" x14ac:dyDescent="0.25">
      <c r="A22" s="81" t="s">
        <v>315</v>
      </c>
      <c r="B22" s="255">
        <f>Skötselplan!B285</f>
        <v>2</v>
      </c>
      <c r="C22" s="255">
        <f>Skötselplan!C285</f>
        <v>2</v>
      </c>
      <c r="D22" s="255">
        <f>Skötselplan!D285</f>
        <v>3</v>
      </c>
      <c r="E22" s="19">
        <f>SUM(B22:D22)</f>
        <v>7</v>
      </c>
      <c r="M22" s="254" t="str">
        <f>Skötselplan!A279</f>
        <v>2.5 Övrig dödlighet</v>
      </c>
    </row>
    <row r="23" spans="1:13" customFormat="1" ht="15" customHeight="1" x14ac:dyDescent="0.25">
      <c r="A23" s="81" t="s">
        <v>1172</v>
      </c>
      <c r="B23" s="46">
        <f>IF(SUM(B20:B22)&gt;0,SUM(B20:B22),"")</f>
        <v>2</v>
      </c>
      <c r="C23" s="46">
        <f>IF(SUM(C20:C22)&gt;0,SUM(C20:C22),"")</f>
        <v>2</v>
      </c>
      <c r="D23" s="46">
        <f>IF(SUM(D20:D22)&gt;0,SUM(D20:D22),"")</f>
        <v>3</v>
      </c>
      <c r="E23" s="19">
        <f>SUM(B23:D23)</f>
        <v>7</v>
      </c>
    </row>
    <row r="24" spans="1:13" x14ac:dyDescent="0.2">
      <c r="A24" s="47" t="s">
        <v>1173</v>
      </c>
    </row>
    <row r="25" spans="1:13" customFormat="1" ht="15" customHeight="1" x14ac:dyDescent="0.25">
      <c r="A25" s="91" t="s">
        <v>1174</v>
      </c>
    </row>
    <row r="26" spans="1:13" customFormat="1" ht="15" customHeight="1" x14ac:dyDescent="0.25">
      <c r="A26" s="91"/>
    </row>
    <row r="27" spans="1:13" customFormat="1" ht="15" customHeight="1" x14ac:dyDescent="0.25">
      <c r="A27" s="91" t="s">
        <v>465</v>
      </c>
    </row>
    <row r="28" spans="1:13" x14ac:dyDescent="0.2">
      <c r="A28" s="112" t="s">
        <v>206</v>
      </c>
      <c r="B28" s="95"/>
      <c r="C28" s="95"/>
      <c r="D28" s="95"/>
      <c r="E28" s="95"/>
    </row>
    <row r="29" spans="1:13" customFormat="1" ht="15" customHeight="1" x14ac:dyDescent="0.25">
      <c r="A29" s="65" t="s">
        <v>192</v>
      </c>
      <c r="B29" s="19">
        <f>Skötselplan!B102</f>
        <v>2020</v>
      </c>
      <c r="C29" s="19">
        <f>Skötselplan!C102</f>
        <v>2021</v>
      </c>
      <c r="D29" s="19">
        <f>Skötselplan!D102</f>
        <v>2022</v>
      </c>
      <c r="E29" s="19">
        <f>Skötselplan!E102</f>
        <v>2023</v>
      </c>
      <c r="F29" s="19" t="s">
        <v>299</v>
      </c>
      <c r="G29" s="159">
        <f>COUNT(B29:E29)</f>
        <v>4</v>
      </c>
      <c r="M29" s="254" t="str">
        <f>Skötselplan!A100</f>
        <v xml:space="preserve">2.1.2 Älgobservationer (älgobs) </v>
      </c>
    </row>
    <row r="30" spans="1:13" customFormat="1" ht="14.45" customHeight="1" x14ac:dyDescent="0.25">
      <c r="A30" s="81" t="s">
        <v>1175</v>
      </c>
      <c r="B30" s="257">
        <f>Skötselplan!B104</f>
        <v>7.2900000000000006E-2</v>
      </c>
      <c r="C30" s="257">
        <f>Skötselplan!C104</f>
        <v>8.0399999999999999E-2</v>
      </c>
      <c r="D30" s="257">
        <f>Skötselplan!D104</f>
        <v>6.9099999999999995E-2</v>
      </c>
      <c r="E30" s="257">
        <f>Skötselplan!E104</f>
        <v>6.4299999999999996E-2</v>
      </c>
      <c r="F30" s="19">
        <f>IF((B30+C30+D30+E30)&gt;0,G30/G$29,0)</f>
        <v>7.1674999999999989E-2</v>
      </c>
      <c r="G30" s="160">
        <f>SUM(B30:E30)</f>
        <v>0.28669999999999995</v>
      </c>
    </row>
    <row r="31" spans="1:13" customFormat="1" ht="14.45" customHeight="1" x14ac:dyDescent="0.25">
      <c r="A31" s="81" t="s">
        <v>1176</v>
      </c>
      <c r="B31" s="258">
        <f>Skötselplan!B105</f>
        <v>0.52900000000000003</v>
      </c>
      <c r="C31" s="258">
        <f>Skötselplan!C105</f>
        <v>0.73799999999999999</v>
      </c>
      <c r="D31" s="258">
        <f>Skötselplan!D105</f>
        <v>0.313</v>
      </c>
      <c r="E31" s="258">
        <f>Skötselplan!E105</f>
        <v>0.59299999999999997</v>
      </c>
      <c r="F31" s="19">
        <f>IF((B31+C31+D31+E31)&gt;0,G31/G$29,0)</f>
        <v>0.54325000000000001</v>
      </c>
      <c r="G31" s="160">
        <f>SUM(B31:E31)</f>
        <v>2.173</v>
      </c>
    </row>
    <row r="32" spans="1:13" customFormat="1" ht="14.45" customHeight="1" x14ac:dyDescent="0.25">
      <c r="A32" s="81" t="s">
        <v>1177</v>
      </c>
      <c r="B32" s="259">
        <f>Skötselplan!B106</f>
        <v>0.35399999999999998</v>
      </c>
      <c r="C32" s="259">
        <f>Skötselplan!C106</f>
        <v>0.433</v>
      </c>
      <c r="D32" s="259">
        <f>Skötselplan!D106</f>
        <v>0.32700000000000001</v>
      </c>
      <c r="E32" s="259">
        <f>Skötselplan!E106</f>
        <v>0.46</v>
      </c>
      <c r="F32" s="45">
        <f>IF((B32+C32+D32+E32)&gt;0,G32/G$29,0)</f>
        <v>0.39349999999999996</v>
      </c>
      <c r="G32" s="160">
        <f>SUM(B32:E32)</f>
        <v>1.5739999999999998</v>
      </c>
    </row>
    <row r="33" spans="1:13" customFormat="1" ht="15" customHeight="1" x14ac:dyDescent="0.25">
      <c r="A33" s="95" t="s">
        <v>1178</v>
      </c>
      <c r="B33" s="146"/>
      <c r="C33" s="146"/>
      <c r="D33" s="146"/>
      <c r="E33" s="146"/>
      <c r="F33" s="146"/>
    </row>
    <row r="35" spans="1:13" customFormat="1" ht="14.45" customHeight="1" x14ac:dyDescent="0.25">
      <c r="A35" s="91" t="s">
        <v>1179</v>
      </c>
      <c r="B35" s="95"/>
      <c r="C35" s="95"/>
      <c r="D35" s="95"/>
      <c r="E35" s="95"/>
    </row>
    <row r="36" spans="1:13" customFormat="1" ht="30" customHeight="1" x14ac:dyDescent="0.25">
      <c r="A36" s="65" t="s">
        <v>192</v>
      </c>
      <c r="B36" s="19" t="e">
        <f>IF(B37&gt;0,Skötselplan!D112,"")</f>
        <v>#DIV/0!</v>
      </c>
      <c r="C36" s="19" t="e">
        <f>IF(C37&gt;0,Skötselplan!E112,"")</f>
        <v>#DIV/0!</v>
      </c>
      <c r="D36" s="19" t="e">
        <f>IF(D37&gt;0,Skötselplan!F112,"")</f>
        <v>#DIV/0!</v>
      </c>
      <c r="E36" s="19" t="e">
        <f>IF(E37&gt;0,Skötselplan!G112,"")</f>
        <v>#DIV/0!</v>
      </c>
      <c r="F36" s="48" t="s">
        <v>1180</v>
      </c>
      <c r="G36" s="159">
        <f>COUNT(C36:E36)</f>
        <v>0</v>
      </c>
      <c r="M36" s="254" t="str">
        <f>Skötselplan!A111</f>
        <v xml:space="preserve">2.1.3 Spillningsinventering </v>
      </c>
    </row>
    <row r="37" spans="1:13" customFormat="1" ht="15" customHeight="1" x14ac:dyDescent="0.25">
      <c r="A37" s="81" t="s">
        <v>1181</v>
      </c>
      <c r="B37" s="260" t="e">
        <f>IF(Skötselplan!D113&gt;0,Skötselplan!D120,Skötselplan!D121)</f>
        <v>#DIV/0!</v>
      </c>
      <c r="C37" s="260" t="e">
        <f>IF(Skötselplan!E113&gt;0,Skötselplan!E120,Skötselplan!E121)</f>
        <v>#DIV/0!</v>
      </c>
      <c r="D37" s="260" t="e">
        <f>IF(Skötselplan!F113&gt;0,Skötselplan!F120,Skötselplan!F121)</f>
        <v>#DIV/0!</v>
      </c>
      <c r="E37" s="260" t="e">
        <f>IF(Skötselplan!G113&gt;0,Skötselplan!G120,Skötselplan!G121)</f>
        <v>#DIV/0!</v>
      </c>
      <c r="F37" s="44">
        <f>IF(G36&gt;0,G37/G36,0)</f>
        <v>0</v>
      </c>
      <c r="G37" s="160" t="e">
        <f>SUM(C37:E37)</f>
        <v>#DIV/0!</v>
      </c>
    </row>
    <row r="38" spans="1:13" customFormat="1" ht="15" customHeight="1" x14ac:dyDescent="0.25">
      <c r="A38" s="95" t="s">
        <v>1182</v>
      </c>
      <c r="B38" s="146"/>
      <c r="C38" s="146"/>
      <c r="D38" s="146"/>
      <c r="E38" s="146"/>
      <c r="F38" s="146"/>
    </row>
    <row r="39" spans="1:13" customFormat="1" ht="15" customHeight="1" x14ac:dyDescent="0.25">
      <c r="A39" s="95"/>
      <c r="B39" s="146"/>
      <c r="C39" s="146"/>
      <c r="D39" s="146"/>
      <c r="E39" s="146"/>
      <c r="F39" s="146"/>
    </row>
    <row r="40" spans="1:13" customFormat="1" ht="15" customHeight="1" x14ac:dyDescent="0.25">
      <c r="A40" s="91" t="s">
        <v>1183</v>
      </c>
      <c r="B40" s="95"/>
      <c r="C40" s="95"/>
      <c r="D40" s="95"/>
      <c r="E40" s="95"/>
    </row>
    <row r="41" spans="1:13" customFormat="1" ht="15" customHeight="1" x14ac:dyDescent="0.25">
      <c r="A41" s="65" t="s">
        <v>192</v>
      </c>
      <c r="B41" s="257" t="str">
        <f>IF(Skötselplan!B167&gt;0,Skötselplan!B167,"")</f>
        <v/>
      </c>
      <c r="C41" s="257" t="str">
        <f>IF(Skötselplan!C167&gt;0,Skötselplan!C167,"")</f>
        <v/>
      </c>
      <c r="D41" s="257" t="str">
        <f>IF(Skötselplan!D167&gt;0,Skötselplan!D167,"")</f>
        <v/>
      </c>
    </row>
    <row r="42" spans="1:13" customFormat="1" ht="15" customHeight="1" x14ac:dyDescent="0.25">
      <c r="A42" s="81" t="s">
        <v>1181</v>
      </c>
      <c r="B42" s="260" t="str">
        <f>IF(Skötselplan!B171&gt;0,Skötselplan!B171,"")</f>
        <v/>
      </c>
      <c r="C42" s="260" t="str">
        <f>IF(Skötselplan!C171&gt;0,Skötselplan!C171,"")</f>
        <v/>
      </c>
      <c r="D42" s="260" t="str">
        <f>IF(Skötselplan!D171&gt;0,Skötselplan!D171,"")</f>
        <v/>
      </c>
    </row>
    <row r="43" spans="1:13" customFormat="1" ht="15" customHeight="1" x14ac:dyDescent="0.25">
      <c r="A43" s="95" t="s">
        <v>1182</v>
      </c>
      <c r="B43" s="146"/>
      <c r="C43" s="146"/>
      <c r="D43" s="146"/>
      <c r="E43" s="146"/>
      <c r="F43" s="146"/>
    </row>
    <row r="44" spans="1:13" customFormat="1" ht="21" customHeight="1" x14ac:dyDescent="0.25">
      <c r="A44" s="112" t="s">
        <v>1184</v>
      </c>
      <c r="B44" s="146"/>
      <c r="C44" s="146"/>
      <c r="D44" s="91"/>
      <c r="E44" s="95"/>
    </row>
    <row r="45" spans="1:13" customFormat="1" ht="21" customHeight="1" x14ac:dyDescent="0.25">
      <c r="A45" s="390"/>
      <c r="B45" s="390"/>
      <c r="C45" s="390"/>
      <c r="D45" s="390"/>
      <c r="E45" s="390"/>
    </row>
    <row r="46" spans="1:13" customFormat="1" ht="15" customHeight="1" x14ac:dyDescent="0.25">
      <c r="A46" s="95"/>
      <c r="B46" s="146"/>
      <c r="C46" s="146"/>
      <c r="D46" s="146"/>
      <c r="E46" s="146"/>
      <c r="F46" s="146"/>
    </row>
    <row r="47" spans="1:13" customFormat="1" ht="20.25" customHeight="1" x14ac:dyDescent="0.3">
      <c r="A47" s="158" t="s">
        <v>1185</v>
      </c>
    </row>
    <row r="49" spans="1:1" x14ac:dyDescent="0.2">
      <c r="A49" s="156" t="s">
        <v>1186</v>
      </c>
    </row>
    <row r="76" spans="1:13" customFormat="1" ht="21" customHeight="1" x14ac:dyDescent="0.25">
      <c r="A76" s="161" t="s">
        <v>1187</v>
      </c>
      <c r="B76" s="257">
        <f>Skötselplan!F180</f>
        <v>5.8</v>
      </c>
      <c r="C76" s="156" t="s">
        <v>1188</v>
      </c>
      <c r="D76" s="156"/>
      <c r="E76" s="156"/>
      <c r="F76" s="156"/>
      <c r="M76" s="254" t="str">
        <f>Skötselplan!A175</f>
        <v xml:space="preserve">2.1.9 Bedömning av den nuvarande älgstammen inom älgskötselområdet </v>
      </c>
    </row>
    <row r="77" spans="1:13" customFormat="1" ht="21" customHeight="1" x14ac:dyDescent="0.25">
      <c r="A77" s="112" t="s">
        <v>1189</v>
      </c>
      <c r="B77" s="146"/>
      <c r="C77" s="146"/>
      <c r="D77" s="91"/>
      <c r="E77" s="95"/>
    </row>
    <row r="78" spans="1:13" customFormat="1" ht="21" customHeight="1" x14ac:dyDescent="0.25">
      <c r="A78" s="390"/>
      <c r="B78" s="390"/>
      <c r="C78" s="390"/>
      <c r="D78" s="390"/>
      <c r="E78" s="390"/>
    </row>
    <row r="81" spans="1:1" customFormat="1" ht="20.25" customHeight="1" x14ac:dyDescent="0.3">
      <c r="A81" s="158" t="s">
        <v>1190</v>
      </c>
    </row>
    <row r="83" spans="1:1" x14ac:dyDescent="0.2">
      <c r="A83" s="156" t="s">
        <v>1191</v>
      </c>
    </row>
    <row r="97" spans="1:13" customFormat="1" ht="21" customHeight="1" x14ac:dyDescent="0.25">
      <c r="A97" s="161" t="s">
        <v>1192</v>
      </c>
      <c r="B97" s="156"/>
    </row>
    <row r="99" spans="1:13" customFormat="1" ht="15" customHeight="1" x14ac:dyDescent="0.25">
      <c r="A99" s="19">
        <f>IF(Skötselplan!C$9&gt;0,Skötselplan!C$9,"")</f>
        <v>2024</v>
      </c>
      <c r="B99" s="261">
        <v>0.8</v>
      </c>
      <c r="C99" s="156" t="s">
        <v>1193</v>
      </c>
      <c r="D99" s="156"/>
      <c r="M99" s="262" t="s">
        <v>1194</v>
      </c>
    </row>
    <row r="100" spans="1:13" customFormat="1" ht="15" customHeight="1" x14ac:dyDescent="0.25">
      <c r="A100" s="19">
        <f>IF(Skötselplan!C$9&gt;0,Skötselplan!C$9+1,"")</f>
        <v>2025</v>
      </c>
      <c r="B100" s="261">
        <v>0.8</v>
      </c>
      <c r="C100" s="156" t="s">
        <v>1193</v>
      </c>
    </row>
    <row r="101" spans="1:13" customFormat="1" ht="15" customHeight="1" x14ac:dyDescent="0.25">
      <c r="A101" s="19">
        <f>IF(Skötselplan!C$9&gt;0,Skötselplan!C$9+2,"")</f>
        <v>2026</v>
      </c>
      <c r="B101" s="261">
        <v>0.8</v>
      </c>
      <c r="C101" s="156" t="s">
        <v>1193</v>
      </c>
    </row>
    <row r="102" spans="1:13" customFormat="1" ht="15" customHeight="1" x14ac:dyDescent="0.25">
      <c r="A102" s="19">
        <f>IF(Skötselplan!C$9&gt;0,Skötselplan!C$9+3,"")</f>
        <v>2027</v>
      </c>
      <c r="B102" s="261">
        <v>0.8</v>
      </c>
      <c r="C102" s="156" t="s">
        <v>1193</v>
      </c>
    </row>
    <row r="104" spans="1:13" customFormat="1" ht="21" customHeight="1" x14ac:dyDescent="0.25">
      <c r="A104" s="112" t="s">
        <v>1189</v>
      </c>
      <c r="B104" s="146"/>
      <c r="C104" s="146"/>
      <c r="D104" s="91"/>
      <c r="E104" s="95"/>
    </row>
    <row r="105" spans="1:13" customFormat="1" ht="21" customHeight="1" x14ac:dyDescent="0.25">
      <c r="A105" s="390"/>
      <c r="B105" s="390"/>
      <c r="C105" s="390"/>
      <c r="D105" s="390"/>
      <c r="E105" s="390"/>
    </row>
    <row r="108" spans="1:13" customFormat="1" ht="20.25" customHeight="1" x14ac:dyDescent="0.3">
      <c r="A108" s="158" t="s">
        <v>1195</v>
      </c>
    </row>
    <row r="110" spans="1:13" x14ac:dyDescent="0.2">
      <c r="A110" s="156" t="s">
        <v>1196</v>
      </c>
    </row>
    <row r="112" spans="1:13" customFormat="1" ht="15" customHeight="1" x14ac:dyDescent="0.25"/>
    <row r="123" spans="1:13" s="179" customFormat="1" ht="25.5" customHeight="1" x14ac:dyDescent="0.2">
      <c r="A123" s="161" t="s">
        <v>1197</v>
      </c>
      <c r="D123" s="161" t="s">
        <v>1198</v>
      </c>
      <c r="E123" s="161" t="s">
        <v>1199</v>
      </c>
      <c r="F123" s="161" t="s">
        <v>1200</v>
      </c>
      <c r="G123" s="162" t="s">
        <v>1201</v>
      </c>
      <c r="M123" s="263" t="s">
        <v>1202</v>
      </c>
    </row>
    <row r="124" spans="1:13" x14ac:dyDescent="0.2">
      <c r="A124" s="156" t="s">
        <v>147</v>
      </c>
      <c r="B124" s="163">
        <f>IF(C127&gt;0,C124/C127,0)</f>
        <v>0.29598013285070141</v>
      </c>
      <c r="C124" s="159">
        <f>IF(F$32&gt;0,F$32,"")</f>
        <v>0.39349999999999996</v>
      </c>
      <c r="D124" s="164">
        <f>D$127*B124</f>
        <v>2.1421253569628012</v>
      </c>
      <c r="E124" s="164">
        <f>$E$127*B130</f>
        <v>0.66341342523616276</v>
      </c>
      <c r="F124" s="164">
        <f>D124-E124</f>
        <v>1.4787119317266384</v>
      </c>
      <c r="G124" s="165">
        <f>IF(F124&gt;0,F124/$F$127,0)</f>
        <v>0.25495033305631692</v>
      </c>
    </row>
    <row r="125" spans="1:13" x14ac:dyDescent="0.2">
      <c r="A125" s="156" t="s">
        <v>284</v>
      </c>
      <c r="B125" s="163">
        <f>IF(C127&gt;0,C125/C127,0)</f>
        <v>0.45619301289441022</v>
      </c>
      <c r="C125" s="159">
        <f>IF(F$32&gt;0,1-F$32,"")</f>
        <v>0.60650000000000004</v>
      </c>
      <c r="D125" s="164">
        <f>D$127*B125</f>
        <v>3.3016493748359315</v>
      </c>
      <c r="E125" s="164">
        <f>$E$127*B131</f>
        <v>0.22113780841205424</v>
      </c>
      <c r="F125" s="164">
        <f>D125-E125</f>
        <v>3.0805115664238771</v>
      </c>
      <c r="G125" s="165">
        <f>IF(F125&gt;0,F125/$F$127,0)</f>
        <v>0.53112268386618566</v>
      </c>
    </row>
    <row r="126" spans="1:13" x14ac:dyDescent="0.2">
      <c r="A126" s="156" t="s">
        <v>151</v>
      </c>
      <c r="B126" s="163">
        <f>IF(C127&gt;0,C126/C127,0)</f>
        <v>0.24782685425488837</v>
      </c>
      <c r="C126" s="159">
        <f>IF(F$32&gt;0,C125*F31,"")</f>
        <v>0.32948112500000004</v>
      </c>
      <c r="D126" s="66">
        <f>D$127*B126</f>
        <v>1.7936210228796201</v>
      </c>
      <c r="E126" s="66">
        <f>$E$127*B132</f>
        <v>0.55284452103013559</v>
      </c>
      <c r="F126" s="66">
        <f>D126-E126</f>
        <v>1.2407765018494845</v>
      </c>
      <c r="G126" s="67">
        <f>IF(F126&gt;0,F126/$F$127,0)</f>
        <v>0.2139269830774973</v>
      </c>
    </row>
    <row r="127" spans="1:13" x14ac:dyDescent="0.2">
      <c r="A127" s="156" t="s">
        <v>285</v>
      </c>
      <c r="B127" s="163">
        <f>SUM(B124:B126)</f>
        <v>1</v>
      </c>
      <c r="C127" s="159">
        <f>SUM(C124:C126)</f>
        <v>1.329481125</v>
      </c>
      <c r="D127" s="164">
        <f>(1+$B$129)*Skötselplan!F180</f>
        <v>7.2373957546783529</v>
      </c>
      <c r="E127" s="164">
        <f>B76*B129</f>
        <v>1.4373957546783525</v>
      </c>
      <c r="F127" s="164">
        <f>SUM(F124:F126)</f>
        <v>5.8000000000000007</v>
      </c>
      <c r="G127" s="165">
        <f>IF(F127&gt;0,F127/$F$127,0)</f>
        <v>1</v>
      </c>
    </row>
    <row r="128" spans="1:13" x14ac:dyDescent="0.2">
      <c r="A128" s="161" t="s">
        <v>1200</v>
      </c>
      <c r="C128" s="163"/>
      <c r="E128" s="166"/>
      <c r="F128" s="166"/>
      <c r="G128" s="166"/>
      <c r="H128" s="166"/>
    </row>
    <row r="129" spans="1:13" x14ac:dyDescent="0.2">
      <c r="A129" s="156" t="s">
        <v>1203</v>
      </c>
      <c r="B129" s="264">
        <f>B126</f>
        <v>0.24782685425488837</v>
      </c>
      <c r="C129" s="163"/>
      <c r="D129" s="156" t="s">
        <v>1204</v>
      </c>
      <c r="M129" s="262" t="s">
        <v>1205</v>
      </c>
    </row>
    <row r="130" spans="1:13" x14ac:dyDescent="0.2">
      <c r="A130" s="156" t="s">
        <v>1206</v>
      </c>
      <c r="B130" s="163">
        <f>IF(D7&gt;0,D7/D10,0)</f>
        <v>0.46153846153846156</v>
      </c>
      <c r="D130" s="156" t="s">
        <v>1207</v>
      </c>
    </row>
    <row r="131" spans="1:13" customFormat="1" ht="15" customHeight="1" x14ac:dyDescent="0.25">
      <c r="A131" s="156" t="s">
        <v>1208</v>
      </c>
      <c r="B131" s="163">
        <f>IF(D8&gt;0,D8/D10,0)</f>
        <v>0.15384615384615385</v>
      </c>
    </row>
    <row r="132" spans="1:13" x14ac:dyDescent="0.2">
      <c r="A132" s="156" t="s">
        <v>1209</v>
      </c>
      <c r="B132" s="163">
        <f>IF(D9&gt;0,D9/D10,0)</f>
        <v>0.38461538461538464</v>
      </c>
    </row>
    <row r="134" spans="1:13" customFormat="1" ht="21" customHeight="1" x14ac:dyDescent="0.25">
      <c r="A134" s="161" t="s">
        <v>1210</v>
      </c>
      <c r="M134" s="265" t="str">
        <f>Skötselplan!A175</f>
        <v xml:space="preserve">2.1.9 Bedömning av den nuvarande älgstammen inom älgskötselområdet </v>
      </c>
    </row>
    <row r="136" spans="1:13" customFormat="1" ht="15" customHeight="1" x14ac:dyDescent="0.25">
      <c r="A136" s="156" t="s">
        <v>147</v>
      </c>
      <c r="B136" s="259">
        <f>Skötselplan!C185</f>
        <v>0.25495033305631692</v>
      </c>
      <c r="C136" s="163"/>
      <c r="D136" s="156"/>
    </row>
    <row r="137" spans="1:13" customFormat="1" ht="15" customHeight="1" x14ac:dyDescent="0.25">
      <c r="A137" s="156" t="s">
        <v>284</v>
      </c>
      <c r="B137" s="259">
        <f>Skötselplan!C186</f>
        <v>0.53112268386618566</v>
      </c>
      <c r="C137" s="163"/>
      <c r="D137" s="156"/>
    </row>
    <row r="138" spans="1:13" customFormat="1" ht="15" customHeight="1" x14ac:dyDescent="0.25">
      <c r="A138" s="156" t="s">
        <v>151</v>
      </c>
      <c r="B138" s="259">
        <f>Skötselplan!C187</f>
        <v>0.2139269830774973</v>
      </c>
      <c r="C138" s="163"/>
      <c r="D138" s="156"/>
    </row>
    <row r="139" spans="1:13" customFormat="1" ht="15" customHeight="1" x14ac:dyDescent="0.25">
      <c r="A139" s="156" t="s">
        <v>285</v>
      </c>
      <c r="B139" s="45">
        <f>SUM(B136:B138)</f>
        <v>0.99999999999999978</v>
      </c>
      <c r="C139" s="163"/>
    </row>
    <row r="141" spans="1:13" customFormat="1" ht="21" customHeight="1" x14ac:dyDescent="0.25">
      <c r="A141" s="112" t="s">
        <v>1189</v>
      </c>
      <c r="B141" s="146"/>
      <c r="C141" s="146"/>
      <c r="D141" s="91"/>
      <c r="E141" s="95"/>
    </row>
    <row r="142" spans="1:13" customFormat="1" ht="21" customHeight="1" x14ac:dyDescent="0.25">
      <c r="A142" s="390"/>
      <c r="B142" s="390"/>
      <c r="C142" s="390"/>
      <c r="D142" s="390"/>
      <c r="E142" s="390"/>
    </row>
    <row r="144" spans="1:13" customFormat="1" ht="20.25" customHeight="1" x14ac:dyDescent="0.3">
      <c r="A144" s="158" t="s">
        <v>1211</v>
      </c>
    </row>
    <row r="145" spans="1:13" customFormat="1" ht="15.75" customHeight="1" x14ac:dyDescent="0.25">
      <c r="A145" s="167" t="s">
        <v>1212</v>
      </c>
      <c r="M145" s="254" t="str">
        <f>Skötselplan!A270&amp;Skötselplan!A279</f>
        <v>2.4 Redovisning av rapporterade viltolyckor med älg 2.5 Övrig dödlighet</v>
      </c>
    </row>
    <row r="146" spans="1:13" customFormat="1" ht="38.25" customHeight="1" x14ac:dyDescent="0.25">
      <c r="A146" s="156"/>
      <c r="C146" s="168" t="s">
        <v>1187</v>
      </c>
      <c r="D146" s="168" t="s">
        <v>1213</v>
      </c>
      <c r="E146" s="168" t="s">
        <v>1214</v>
      </c>
      <c r="F146" s="168" t="s">
        <v>1215</v>
      </c>
      <c r="G146" s="168" t="s">
        <v>1216</v>
      </c>
      <c r="H146" s="168" t="s">
        <v>1217</v>
      </c>
      <c r="I146" s="168" t="s">
        <v>1218</v>
      </c>
      <c r="M146" s="262" t="s">
        <v>1219</v>
      </c>
    </row>
    <row r="147" spans="1:13" x14ac:dyDescent="0.2">
      <c r="A147" s="156" t="s">
        <v>1220</v>
      </c>
      <c r="B147" s="163"/>
      <c r="C147" s="266">
        <f>B76</f>
        <v>5.8</v>
      </c>
      <c r="D147" s="169">
        <f>B163</f>
        <v>11054</v>
      </c>
      <c r="E147" s="169">
        <f>C147*D147/1000</f>
        <v>64.113199999999992</v>
      </c>
      <c r="F147" s="267">
        <v>1.4</v>
      </c>
      <c r="G147" s="169">
        <f>E147*F147</f>
        <v>89.758479999999977</v>
      </c>
      <c r="H147" s="170">
        <f>IF(G147&gt;0,(E20+E22)/F19,"")</f>
        <v>2.3333333333333335</v>
      </c>
      <c r="I147" s="171">
        <f>IF(G147&gt;0,H147/G147,"")</f>
        <v>2.5995686795646875E-2</v>
      </c>
      <c r="M147" s="262" t="s">
        <v>1221</v>
      </c>
    </row>
    <row r="149" spans="1:13" customFormat="1" ht="21" customHeight="1" x14ac:dyDescent="0.25">
      <c r="A149" s="161" t="s">
        <v>1222</v>
      </c>
      <c r="B149" s="156"/>
      <c r="C149" s="156"/>
      <c r="D149" s="156"/>
      <c r="F149" s="156"/>
      <c r="I149" s="156"/>
    </row>
    <row r="151" spans="1:13" customFormat="1" ht="15" customHeight="1" x14ac:dyDescent="0.25">
      <c r="A151" s="19">
        <f>IF(Skötselplan!C$9&gt;0,Skötselplan!C$9,"")</f>
        <v>2024</v>
      </c>
      <c r="B151" s="268">
        <v>0.04</v>
      </c>
      <c r="C151" s="156"/>
      <c r="D151" s="156"/>
      <c r="F151" s="156"/>
      <c r="M151" s="262" t="s">
        <v>1223</v>
      </c>
    </row>
    <row r="152" spans="1:13" customFormat="1" ht="15" customHeight="1" x14ac:dyDescent="0.25">
      <c r="A152" s="19">
        <f>IF(Skötselplan!C$9&gt;0,Skötselplan!C$9+1,"")</f>
        <v>2025</v>
      </c>
      <c r="B152" s="268">
        <v>0.04</v>
      </c>
    </row>
    <row r="153" spans="1:13" customFormat="1" ht="15" customHeight="1" x14ac:dyDescent="0.25">
      <c r="A153" s="19">
        <f>IF(Skötselplan!C$9&gt;0,Skötselplan!C$9+2,"")</f>
        <v>2026</v>
      </c>
      <c r="B153" s="268">
        <v>0.04</v>
      </c>
    </row>
    <row r="154" spans="1:13" customFormat="1" ht="15" customHeight="1" x14ac:dyDescent="0.25">
      <c r="A154" s="19">
        <f>IF(Skötselplan!C$9&gt;0,Skötselplan!C$9+3,"")</f>
        <v>2027</v>
      </c>
      <c r="B154" s="268">
        <v>0.04</v>
      </c>
    </row>
    <row r="156" spans="1:13" customFormat="1" ht="15" customHeight="1" x14ac:dyDescent="0.25">
      <c r="A156" s="112" t="s">
        <v>1189</v>
      </c>
      <c r="B156" s="146"/>
      <c r="C156" s="146"/>
      <c r="D156" s="91"/>
      <c r="E156" s="95"/>
    </row>
    <row r="157" spans="1:13" customFormat="1" ht="15" customHeight="1" x14ac:dyDescent="0.25">
      <c r="A157" s="390"/>
      <c r="B157" s="390"/>
      <c r="C157" s="390"/>
      <c r="D157" s="390"/>
      <c r="E157" s="390"/>
    </row>
    <row r="158" spans="1:13" customFormat="1" ht="15" customHeight="1" x14ac:dyDescent="0.25">
      <c r="A158" s="172"/>
      <c r="B158" s="172"/>
      <c r="C158" s="172"/>
      <c r="D158" s="172"/>
      <c r="E158" s="172"/>
    </row>
    <row r="160" spans="1:13" customFormat="1" ht="20.25" customHeight="1" x14ac:dyDescent="0.3">
      <c r="A160" s="158" t="s">
        <v>1224</v>
      </c>
      <c r="C160" s="158" t="str">
        <f>IF(Skötselplan!C1&gt;0,Skötselplan!C1,"")</f>
        <v>Stora Sävsjöns älg- och kronhjortsskötselområde</v>
      </c>
      <c r="H160" s="173" t="s">
        <v>1225</v>
      </c>
      <c r="I160" s="158">
        <f>D163</f>
        <v>2024</v>
      </c>
      <c r="J160" s="174" t="s">
        <v>1226</v>
      </c>
      <c r="K160" s="158">
        <f>IF(Skötselplan!E9&gt;0,Skötselplan!E9,"")</f>
        <v>2026</v>
      </c>
    </row>
    <row r="162" spans="1:13" x14ac:dyDescent="0.2">
      <c r="D162" s="175" t="s">
        <v>1227</v>
      </c>
      <c r="E162" s="175" t="s">
        <v>1228</v>
      </c>
      <c r="F162" s="175" t="s">
        <v>1229</v>
      </c>
    </row>
    <row r="163" spans="1:13" x14ac:dyDescent="0.2">
      <c r="A163" s="161" t="s">
        <v>1213</v>
      </c>
      <c r="B163" s="269">
        <f>Skötselplan!C12</f>
        <v>11054</v>
      </c>
      <c r="C163" s="156" t="s">
        <v>1230</v>
      </c>
      <c r="D163" s="176">
        <f>A151</f>
        <v>2024</v>
      </c>
      <c r="E163" s="164">
        <f>B99</f>
        <v>0.8</v>
      </c>
      <c r="F163" s="165">
        <f>B151</f>
        <v>0.04</v>
      </c>
      <c r="M163" s="254">
        <f>Skötselplan!A2</f>
        <v>0</v>
      </c>
    </row>
    <row r="164" spans="1:13" x14ac:dyDescent="0.2">
      <c r="A164" s="161" t="s">
        <v>1231</v>
      </c>
      <c r="B164" s="270">
        <f>B76</f>
        <v>5.8</v>
      </c>
      <c r="C164" s="156" t="s">
        <v>1232</v>
      </c>
      <c r="D164" s="176">
        <f>A152</f>
        <v>2025</v>
      </c>
      <c r="E164" s="164">
        <f>B100</f>
        <v>0.8</v>
      </c>
      <c r="F164" s="165">
        <f>B152</f>
        <v>0.04</v>
      </c>
      <c r="M164" s="254" t="str">
        <f>Skötselplan!A175</f>
        <v xml:space="preserve">2.1.9 Bedömning av den nuvarande älgstammen inom älgskötselområdet </v>
      </c>
    </row>
    <row r="165" spans="1:13" customFormat="1" ht="15" customHeight="1" x14ac:dyDescent="0.25">
      <c r="A165" s="161" t="s">
        <v>1233</v>
      </c>
      <c r="B165" s="268">
        <v>0.52</v>
      </c>
      <c r="C165" s="156"/>
      <c r="D165" s="176">
        <f>A153</f>
        <v>2026</v>
      </c>
      <c r="E165" s="164">
        <f>B101</f>
        <v>0.8</v>
      </c>
      <c r="F165" s="165">
        <f>B153</f>
        <v>0.04</v>
      </c>
      <c r="M165" s="262" t="s">
        <v>1234</v>
      </c>
    </row>
    <row r="166" spans="1:13" customFormat="1" ht="15" customHeight="1" x14ac:dyDescent="0.25">
      <c r="A166" s="156"/>
      <c r="B166" s="104"/>
      <c r="C166" s="156"/>
      <c r="D166" s="176">
        <f>A154</f>
        <v>2027</v>
      </c>
      <c r="E166" s="164">
        <f>B102</f>
        <v>0.8</v>
      </c>
      <c r="F166" s="165">
        <f>B154</f>
        <v>0.04</v>
      </c>
    </row>
    <row r="167" spans="1:13" customFormat="1" ht="15" customHeight="1" x14ac:dyDescent="0.25">
      <c r="A167" s="156" t="s">
        <v>1235</v>
      </c>
      <c r="B167" s="268">
        <v>0.3</v>
      </c>
      <c r="C167" s="156"/>
      <c r="D167" s="176"/>
      <c r="E167" s="164"/>
      <c r="F167" s="165"/>
      <c r="M167" s="262" t="s">
        <v>1236</v>
      </c>
    </row>
    <row r="168" spans="1:13" x14ac:dyDescent="0.2">
      <c r="H168" s="161" t="s">
        <v>311</v>
      </c>
      <c r="J168" s="161" t="s">
        <v>1237</v>
      </c>
    </row>
    <row r="169" spans="1:13" x14ac:dyDescent="0.2">
      <c r="A169" s="68"/>
      <c r="B169" s="68"/>
      <c r="C169" s="49" t="s">
        <v>147</v>
      </c>
      <c r="D169" s="49" t="s">
        <v>194</v>
      </c>
      <c r="E169" s="49" t="s">
        <v>151</v>
      </c>
      <c r="F169" s="49" t="s">
        <v>1238</v>
      </c>
      <c r="G169" s="49" t="s">
        <v>1239</v>
      </c>
      <c r="H169" s="49" t="s">
        <v>1240</v>
      </c>
      <c r="I169" s="49" t="s">
        <v>151</v>
      </c>
      <c r="J169" s="50" t="s">
        <v>1241</v>
      </c>
      <c r="K169" s="68"/>
    </row>
    <row r="170" spans="1:13" customFormat="1" ht="15" customHeight="1" x14ac:dyDescent="0.25">
      <c r="A170" s="156" t="s">
        <v>1242</v>
      </c>
      <c r="B170" s="144">
        <f>IF(Skötselplan!C$9&gt;0,Skötselplan!C$9,"")</f>
        <v>2024</v>
      </c>
      <c r="C170" s="165">
        <f>B136</f>
        <v>0.25495033305631692</v>
      </c>
      <c r="D170" s="165">
        <f>B137</f>
        <v>0.53112268386618566</v>
      </c>
      <c r="E170" s="165">
        <f>B138</f>
        <v>0.2139269830774973</v>
      </c>
      <c r="F170" s="130">
        <f>(B163/1000)*B164</f>
        <v>64.113200000000006</v>
      </c>
      <c r="G170" s="157">
        <f t="shared" ref="G170:G176" si="0">IF(F170&gt;0,F170/($B$163/1000),"")</f>
        <v>5.8000000000000007</v>
      </c>
      <c r="L170" s="156"/>
      <c r="M170" s="156"/>
    </row>
    <row r="171" spans="1:13" customFormat="1" ht="15" customHeight="1" x14ac:dyDescent="0.25">
      <c r="A171" s="156" t="s">
        <v>1237</v>
      </c>
      <c r="B171" s="144">
        <f>IF(Skötselplan!C$9&gt;0,Skötselplan!C$9,"")</f>
        <v>2024</v>
      </c>
      <c r="C171" s="130">
        <f>$F$170*C170</f>
        <v>16.345681693306261</v>
      </c>
      <c r="D171" s="130">
        <f>$F$170*D170</f>
        <v>34.05197485524954</v>
      </c>
      <c r="E171" s="130">
        <f>$F$170*E170</f>
        <v>13.715543451444201</v>
      </c>
      <c r="F171" s="130">
        <f t="shared" ref="F171:F176" si="1">SUM(C171:E171)</f>
        <v>64.113200000000006</v>
      </c>
      <c r="G171" s="177">
        <f t="shared" si="0"/>
        <v>5.8000000000000007</v>
      </c>
      <c r="H171" s="156"/>
      <c r="I171" s="156"/>
      <c r="J171" s="178">
        <f>IF(F171&gt;0,C171/(C171+D171),"")</f>
        <v>0.32433416179893121</v>
      </c>
      <c r="K171" s="156"/>
      <c r="L171" s="156"/>
      <c r="M171" s="156"/>
    </row>
    <row r="172" spans="1:13" customFormat="1" ht="15" customHeight="1" x14ac:dyDescent="0.25">
      <c r="A172" s="156" t="s">
        <v>1243</v>
      </c>
      <c r="B172" s="144">
        <f>IF(Skötselplan!C$9&gt;0,Skötselplan!C$9,"")</f>
        <v>2024</v>
      </c>
      <c r="C172" s="128">
        <f>$B$165*$E171</f>
        <v>7.1320825947509849</v>
      </c>
      <c r="D172" s="128">
        <f>(1-$B$165)*$E171</f>
        <v>6.5834608566932165</v>
      </c>
      <c r="E172" s="128">
        <f>((D171+D172)*E$163)+(B$167*E173)</f>
        <v>32.508348569554208</v>
      </c>
      <c r="F172" s="130">
        <f t="shared" si="1"/>
        <v>46.223892020998406</v>
      </c>
      <c r="G172" s="157">
        <f t="shared" si="0"/>
        <v>4.1816439316987886</v>
      </c>
      <c r="J172" s="156"/>
      <c r="L172" s="156"/>
      <c r="M172" s="156"/>
    </row>
    <row r="173" spans="1:13" customFormat="1" ht="15" customHeight="1" x14ac:dyDescent="0.25">
      <c r="A173" s="156" t="s">
        <v>1244</v>
      </c>
      <c r="B173" s="144">
        <f>IF(Skötselplan!C$9&gt;0,Skötselplan!C$9,"")</f>
        <v>2024</v>
      </c>
      <c r="C173" s="128">
        <f>IF(Skötselplan!$F$300="",0,Skötselplan!$D$300/2)</f>
        <v>0</v>
      </c>
      <c r="D173" s="128">
        <f>IF(Skötselplan!$F$300="",0,Skötselplan!$D$300/2)</f>
        <v>0</v>
      </c>
      <c r="E173" s="128">
        <f>IF(Skötselplan!$E$300="",0,Skötselplan!$E$300)</f>
        <v>0</v>
      </c>
      <c r="F173" s="130">
        <f t="shared" si="1"/>
        <v>0</v>
      </c>
      <c r="G173" s="157" t="str">
        <f t="shared" si="0"/>
        <v/>
      </c>
      <c r="J173" s="156"/>
      <c r="L173" s="156"/>
      <c r="M173" s="156"/>
    </row>
    <row r="174" spans="1:13" customFormat="1" ht="15" customHeight="1" x14ac:dyDescent="0.25">
      <c r="A174" s="156" t="s">
        <v>1245</v>
      </c>
      <c r="B174" s="144">
        <f>IF(Skötselplan!C$9&gt;0,Skötselplan!C$9,"")</f>
        <v>2024</v>
      </c>
      <c r="C174" s="128">
        <f>$B151*C171</f>
        <v>0.65382726773225042</v>
      </c>
      <c r="D174" s="128">
        <f>$B151*D171</f>
        <v>1.3620789942099816</v>
      </c>
      <c r="E174" s="128">
        <f>$B151*E171</f>
        <v>0.54862173805776804</v>
      </c>
      <c r="F174" s="130">
        <f t="shared" si="1"/>
        <v>2.5645280000000001</v>
      </c>
      <c r="G174" s="157">
        <f t="shared" si="0"/>
        <v>0.23200000000000001</v>
      </c>
      <c r="J174" s="156"/>
      <c r="L174" s="156"/>
      <c r="M174" s="156"/>
    </row>
    <row r="175" spans="1:13" customFormat="1" ht="15" customHeight="1" x14ac:dyDescent="0.25">
      <c r="A175" s="156" t="s">
        <v>1198</v>
      </c>
      <c r="B175" s="144">
        <f>IF(Skötselplan!C$9&gt;0,Skötselplan!C$9,"")</f>
        <v>2024</v>
      </c>
      <c r="C175" s="130">
        <f>C171+C172-C173-C174</f>
        <v>22.823937020324994</v>
      </c>
      <c r="D175" s="130">
        <f>D171+D172-D174</f>
        <v>39.273356717732774</v>
      </c>
      <c r="E175" s="130">
        <f>E172-E173-E174</f>
        <v>31.95972683149644</v>
      </c>
      <c r="F175" s="130">
        <f t="shared" si="1"/>
        <v>94.057020569554211</v>
      </c>
      <c r="G175" s="157">
        <f t="shared" si="0"/>
        <v>8.508867429849305</v>
      </c>
      <c r="H175" s="156"/>
      <c r="I175" s="156"/>
      <c r="J175" s="156"/>
      <c r="K175" s="156"/>
      <c r="L175" s="156"/>
      <c r="M175" s="156"/>
    </row>
    <row r="176" spans="1:13" customFormat="1" ht="15" customHeight="1" x14ac:dyDescent="0.25">
      <c r="A176" s="156" t="s">
        <v>1199</v>
      </c>
      <c r="B176" s="144">
        <f>IF(Skötselplan!C$9&gt;0,Skötselplan!C$9,"")</f>
        <v>2024</v>
      </c>
      <c r="C176" s="271">
        <f>Skötselplan!B329</f>
        <v>1</v>
      </c>
      <c r="D176" s="271">
        <f>Skötselplan!B330</f>
        <v>2</v>
      </c>
      <c r="E176" s="271">
        <f>Skötselplan!B331</f>
        <v>8</v>
      </c>
      <c r="F176" s="130">
        <f t="shared" si="1"/>
        <v>11</v>
      </c>
      <c r="G176" s="157">
        <f t="shared" si="0"/>
        <v>0.99511489053736202</v>
      </c>
      <c r="H176" s="163">
        <f>IF((C176+D176)&gt;0,C176/(C176+D176),"")</f>
        <v>0.33333333333333331</v>
      </c>
      <c r="I176" s="163">
        <f>IF(E176&gt;0,E176/F176,"")</f>
        <v>0.72727272727272729</v>
      </c>
      <c r="J176" s="163"/>
      <c r="K176" s="163"/>
      <c r="L176" s="163"/>
      <c r="M176" s="265" t="str">
        <f>Skötselplan!A326</f>
        <v xml:space="preserve">4.1 Avskjutning för älgskötselområdet </v>
      </c>
    </row>
    <row r="177" spans="1:13" customFormat="1" ht="15" customHeight="1" x14ac:dyDescent="0.25">
      <c r="A177" s="156" t="s">
        <v>1242</v>
      </c>
      <c r="B177" s="144">
        <f>IF(Skötselplan!C$9&gt;0,Skötselplan!C$9+1,"")</f>
        <v>2025</v>
      </c>
      <c r="C177" s="117">
        <f>IF(C176&gt;0,C178/$F178,"")</f>
        <v>0.26275848652732536</v>
      </c>
      <c r="D177" s="117">
        <f>IF(D176&gt;0,D178/$F178,"")</f>
        <v>0.44876828547586833</v>
      </c>
      <c r="E177" s="117">
        <f>IF(E176&gt;0,E178/$F178,"")</f>
        <v>0.28847322799680625</v>
      </c>
      <c r="F177" s="130"/>
      <c r="G177" s="157"/>
      <c r="J177" s="156"/>
      <c r="L177" s="156"/>
      <c r="M177" s="156"/>
    </row>
    <row r="178" spans="1:13" customFormat="1" ht="15" customHeight="1" x14ac:dyDescent="0.25">
      <c r="A178" s="156" t="s">
        <v>1237</v>
      </c>
      <c r="B178" s="144">
        <f>IF(Skötselplan!C$9&gt;0,Skötselplan!C$9+1,"")</f>
        <v>2025</v>
      </c>
      <c r="C178" s="130">
        <f>C175-C176</f>
        <v>21.823937020324994</v>
      </c>
      <c r="D178" s="130">
        <f>D175-D176</f>
        <v>37.273356717732774</v>
      </c>
      <c r="E178" s="130">
        <f>E175-E176</f>
        <v>23.95972683149644</v>
      </c>
      <c r="F178" s="130">
        <f t="shared" ref="F178:F183" si="2">SUM(C178:E178)</f>
        <v>83.057020569554211</v>
      </c>
      <c r="G178" s="177">
        <f t="shared" ref="G178:G183" si="3">IF(F178&gt;0,F178/($B$163/1000),"")</f>
        <v>7.513752539311942</v>
      </c>
      <c r="H178" s="156"/>
      <c r="I178" s="156"/>
      <c r="J178" s="178">
        <f>IF(F178&gt;0,C178/(C178+D178),"")</f>
        <v>0.36928826414720756</v>
      </c>
      <c r="K178" s="156"/>
      <c r="L178" s="156"/>
      <c r="M178" s="156"/>
    </row>
    <row r="179" spans="1:13" customFormat="1" ht="15" customHeight="1" x14ac:dyDescent="0.25">
      <c r="A179" s="156" t="s">
        <v>1243</v>
      </c>
      <c r="B179" s="144">
        <f>IF(Skötselplan!C$9&gt;0,Skötselplan!C$9+1,"")</f>
        <v>2025</v>
      </c>
      <c r="C179" s="128">
        <f>$B$165*$E178</f>
        <v>12.459057952378149</v>
      </c>
      <c r="D179" s="128">
        <f>(1-$B$165)*$E178</f>
        <v>11.50066887911829</v>
      </c>
      <c r="E179" s="128">
        <f>((D178+D179)*E$164)+(B$167*E180)</f>
        <v>39.01922047748085</v>
      </c>
      <c r="F179" s="130">
        <f t="shared" si="2"/>
        <v>62.97894730897729</v>
      </c>
      <c r="G179" s="157">
        <f t="shared" si="3"/>
        <v>5.6973898415937478</v>
      </c>
      <c r="J179" s="156"/>
      <c r="L179" s="156"/>
      <c r="M179" s="156"/>
    </row>
    <row r="180" spans="1:13" customFormat="1" ht="15" customHeight="1" x14ac:dyDescent="0.25">
      <c r="A180" s="156" t="s">
        <v>1244</v>
      </c>
      <c r="B180" s="144">
        <f>IF(Skötselplan!C$9&gt;0,Skötselplan!C$9+1,"")</f>
        <v>2025</v>
      </c>
      <c r="C180" s="128">
        <f>IF(Skötselplan!$F$300="",0,Skötselplan!$D$300/2)</f>
        <v>0</v>
      </c>
      <c r="D180" s="128">
        <f>IF(Skötselplan!$F$300="",0,Skötselplan!$D$300/2)</f>
        <v>0</v>
      </c>
      <c r="E180" s="128">
        <f>IF(Skötselplan!$E$300="",0,Skötselplan!$E$300)</f>
        <v>0</v>
      </c>
      <c r="F180" s="130">
        <f t="shared" si="2"/>
        <v>0</v>
      </c>
      <c r="G180" s="157" t="str">
        <f t="shared" si="3"/>
        <v/>
      </c>
      <c r="J180" s="156"/>
      <c r="L180" s="156"/>
      <c r="M180" s="156"/>
    </row>
    <row r="181" spans="1:13" customFormat="1" ht="15" customHeight="1" x14ac:dyDescent="0.25">
      <c r="A181" s="156" t="s">
        <v>1245</v>
      </c>
      <c r="B181" s="144">
        <f>IF(Skötselplan!C$9&gt;0,Skötselplan!C$9+1,"")</f>
        <v>2025</v>
      </c>
      <c r="C181" s="128">
        <f>$B152*C178</f>
        <v>0.87295748081299973</v>
      </c>
      <c r="D181" s="128">
        <f>$B152*D178</f>
        <v>1.490934268709311</v>
      </c>
      <c r="E181" s="128">
        <f>$B152*E178</f>
        <v>0.95838907325985756</v>
      </c>
      <c r="F181" s="130">
        <f t="shared" si="2"/>
        <v>3.3222808227821683</v>
      </c>
      <c r="G181" s="157">
        <f t="shared" si="3"/>
        <v>0.30055010157247769</v>
      </c>
      <c r="J181" s="156"/>
      <c r="L181" s="156"/>
      <c r="M181" s="156"/>
    </row>
    <row r="182" spans="1:13" customFormat="1" ht="15" customHeight="1" x14ac:dyDescent="0.25">
      <c r="A182" s="156" t="s">
        <v>1198</v>
      </c>
      <c r="B182" s="144">
        <f>IF(Skötselplan!C$9&gt;0,Skötselplan!C$9+1,"")</f>
        <v>2025</v>
      </c>
      <c r="C182" s="130">
        <f>C178+C179-C180-C181</f>
        <v>33.410037491890144</v>
      </c>
      <c r="D182" s="130">
        <f>D178+D179-D181</f>
        <v>47.283091328141751</v>
      </c>
      <c r="E182" s="130">
        <f>E179-E180-E181</f>
        <v>38.060831404220991</v>
      </c>
      <c r="F182" s="130">
        <f t="shared" si="2"/>
        <v>118.75396022425288</v>
      </c>
      <c r="G182" s="157">
        <f t="shared" si="3"/>
        <v>10.743075829948696</v>
      </c>
      <c r="H182" s="156"/>
      <c r="I182" s="156"/>
      <c r="J182" s="156"/>
      <c r="K182" s="156"/>
      <c r="L182" s="156"/>
      <c r="M182" s="156"/>
    </row>
    <row r="183" spans="1:13" customFormat="1" ht="15" customHeight="1" x14ac:dyDescent="0.25">
      <c r="A183" s="156" t="s">
        <v>1199</v>
      </c>
      <c r="B183" s="144">
        <f>IF(Skötselplan!C$9&gt;0,Skötselplan!C$9+1,"")</f>
        <v>2025</v>
      </c>
      <c r="C183" s="271">
        <f>Skötselplan!C329</f>
        <v>1</v>
      </c>
      <c r="D183" s="271">
        <f>Skötselplan!C330</f>
        <v>2</v>
      </c>
      <c r="E183" s="271">
        <f>Skötselplan!C331</f>
        <v>8</v>
      </c>
      <c r="F183" s="130">
        <f t="shared" si="2"/>
        <v>11</v>
      </c>
      <c r="G183" s="157">
        <f t="shared" si="3"/>
        <v>0.99511489053736202</v>
      </c>
      <c r="H183" s="163">
        <f>IF((C183+D183)&gt;0,C183/(C183+D183),"")</f>
        <v>0.33333333333333331</v>
      </c>
      <c r="I183" s="163">
        <f>IF(E183&gt;0,E183/F183,"")</f>
        <v>0.72727272727272729</v>
      </c>
      <c r="J183" s="163"/>
      <c r="K183" s="163"/>
      <c r="L183" s="163"/>
      <c r="M183" s="265" t="str">
        <f>Skötselplan!A326</f>
        <v xml:space="preserve">4.1 Avskjutning för älgskötselområdet </v>
      </c>
    </row>
    <row r="184" spans="1:13" customFormat="1" ht="15" customHeight="1" x14ac:dyDescent="0.25">
      <c r="A184" s="156" t="s">
        <v>1242</v>
      </c>
      <c r="B184" s="144">
        <f>IF(Skötselplan!C$9&gt;0,Skötselplan!C$9+2,"")</f>
        <v>2026</v>
      </c>
      <c r="C184" s="117">
        <f>IF(C183&gt;0,C185/$F185,"")</f>
        <v>0.30077815631499555</v>
      </c>
      <c r="D184" s="117">
        <f>IF(D183&gt;0,D185/$F185,"")</f>
        <v>0.42024526276250579</v>
      </c>
      <c r="E184" s="117">
        <f>IF(E183&gt;0,E185/$F185,"")</f>
        <v>0.27897658092249872</v>
      </c>
      <c r="F184" s="130"/>
      <c r="G184" s="157"/>
      <c r="J184" s="156"/>
      <c r="L184" s="156"/>
      <c r="M184" s="156"/>
    </row>
    <row r="185" spans="1:13" customFormat="1" ht="15" customHeight="1" x14ac:dyDescent="0.25">
      <c r="A185" s="156" t="s">
        <v>1237</v>
      </c>
      <c r="B185" s="144">
        <f>IF(Skötselplan!C$9&gt;0,Skötselplan!C$9+2,"")</f>
        <v>2026</v>
      </c>
      <c r="C185" s="130">
        <f>C182-C183</f>
        <v>32.410037491890144</v>
      </c>
      <c r="D185" s="130">
        <f>D182-D183</f>
        <v>45.283091328141751</v>
      </c>
      <c r="E185" s="130">
        <f>E182-E183</f>
        <v>30.060831404220991</v>
      </c>
      <c r="F185" s="130">
        <f t="shared" ref="F185:F190" si="4">SUM(C185:E185)</f>
        <v>107.75396022425288</v>
      </c>
      <c r="G185" s="177">
        <f t="shared" ref="G185:G190" si="5">IF(F185&gt;0,F185/($B$163/1000),"")</f>
        <v>9.7479609394113336</v>
      </c>
      <c r="H185" s="156"/>
      <c r="I185" s="156"/>
      <c r="J185" s="178">
        <f>IF(F185&gt;0,C185/(C185+D185),"")</f>
        <v>0.41715448951688699</v>
      </c>
      <c r="K185" s="156"/>
      <c r="L185" s="156"/>
      <c r="M185" s="156"/>
    </row>
    <row r="186" spans="1:13" customFormat="1" ht="15" customHeight="1" x14ac:dyDescent="0.25">
      <c r="A186" s="156" t="s">
        <v>1243</v>
      </c>
      <c r="B186" s="144">
        <f>IF(Skötselplan!C$9&gt;0,Skötselplan!C$9+2,"")</f>
        <v>2026</v>
      </c>
      <c r="C186" s="128">
        <f>$B$165*$E185</f>
        <v>15.631632330194916</v>
      </c>
      <c r="D186" s="128">
        <f>(1-$B$165)*$E185</f>
        <v>14.429199074026075</v>
      </c>
      <c r="E186" s="128">
        <f>((D185+D186)*E$165)+(B$167*E187)</f>
        <v>47.769832321734263</v>
      </c>
      <c r="F186" s="130">
        <f t="shared" si="4"/>
        <v>77.830663725955247</v>
      </c>
      <c r="G186" s="157">
        <f t="shared" si="5"/>
        <v>7.0409502194640172</v>
      </c>
      <c r="J186" s="156"/>
      <c r="L186" s="156"/>
      <c r="M186" s="156"/>
    </row>
    <row r="187" spans="1:13" customFormat="1" ht="15" customHeight="1" x14ac:dyDescent="0.25">
      <c r="A187" s="156" t="s">
        <v>1244</v>
      </c>
      <c r="B187" s="144">
        <f>IF(Skötselplan!C$9&gt;0,Skötselplan!C$9+2,"")</f>
        <v>2026</v>
      </c>
      <c r="C187" s="128">
        <f>IF(Skötselplan!$F$300="",0,Skötselplan!$D$300/2)</f>
        <v>0</v>
      </c>
      <c r="D187" s="128">
        <f>IF(Skötselplan!$F$300="",0,Skötselplan!$D$300/2)</f>
        <v>0</v>
      </c>
      <c r="E187" s="128">
        <f>IF(Skötselplan!$E$300="",0,Skötselplan!$E$300)</f>
        <v>0</v>
      </c>
      <c r="F187" s="130">
        <f t="shared" si="4"/>
        <v>0</v>
      </c>
      <c r="G187" s="157" t="str">
        <f t="shared" si="5"/>
        <v/>
      </c>
      <c r="J187" s="156"/>
      <c r="L187" s="156"/>
      <c r="M187" s="156"/>
    </row>
    <row r="188" spans="1:13" customFormat="1" ht="15" customHeight="1" x14ac:dyDescent="0.25">
      <c r="A188" s="156" t="s">
        <v>1245</v>
      </c>
      <c r="B188" s="144">
        <f>IF(Skötselplan!C$9&gt;0,Skötselplan!C$9+2,"")</f>
        <v>2026</v>
      </c>
      <c r="C188" s="128">
        <f>$B153*C185</f>
        <v>1.2964014996756057</v>
      </c>
      <c r="D188" s="128">
        <f>$B153*D185</f>
        <v>1.81132365312567</v>
      </c>
      <c r="E188" s="128">
        <f>$B153*E185</f>
        <v>1.2024332561688398</v>
      </c>
      <c r="F188" s="130">
        <f t="shared" si="4"/>
        <v>4.3101584089701159</v>
      </c>
      <c r="G188" s="157">
        <f t="shared" si="5"/>
        <v>0.38991843757645339</v>
      </c>
      <c r="J188" s="156"/>
      <c r="L188" s="156"/>
      <c r="M188" s="156"/>
    </row>
    <row r="189" spans="1:13" customFormat="1" ht="15" customHeight="1" x14ac:dyDescent="0.25">
      <c r="A189" s="156" t="s">
        <v>1198</v>
      </c>
      <c r="B189" s="144">
        <f>IF(Skötselplan!C$9&gt;0,Skötselplan!C$9+2,"")</f>
        <v>2026</v>
      </c>
      <c r="C189" s="130">
        <f>C185+C186-C187-C188</f>
        <v>46.745268322409459</v>
      </c>
      <c r="D189" s="130">
        <f>D185+D186-D188</f>
        <v>57.900966749042155</v>
      </c>
      <c r="E189" s="130">
        <f>E186-E187-E188</f>
        <v>46.567399065565425</v>
      </c>
      <c r="F189" s="130">
        <f t="shared" si="4"/>
        <v>151.21363413701704</v>
      </c>
      <c r="G189" s="157">
        <f t="shared" si="5"/>
        <v>13.679539907455856</v>
      </c>
      <c r="H189" s="156"/>
      <c r="I189" s="156"/>
      <c r="J189" s="156"/>
      <c r="K189" s="156"/>
      <c r="L189" s="156"/>
      <c r="M189" s="156"/>
    </row>
    <row r="190" spans="1:13" customFormat="1" ht="15" customHeight="1" x14ac:dyDescent="0.25">
      <c r="A190" s="156" t="s">
        <v>1199</v>
      </c>
      <c r="B190" s="144">
        <f>IF(Skötselplan!C$9&gt;0,Skötselplan!C$9+2,"")</f>
        <v>2026</v>
      </c>
      <c r="C190" s="271">
        <f>Skötselplan!D329</f>
        <v>1</v>
      </c>
      <c r="D190" s="271">
        <f>Skötselplan!D330</f>
        <v>2</v>
      </c>
      <c r="E190" s="271">
        <f>Skötselplan!D331</f>
        <v>8</v>
      </c>
      <c r="F190" s="130">
        <f t="shared" si="4"/>
        <v>11</v>
      </c>
      <c r="G190" s="157">
        <f t="shared" si="5"/>
        <v>0.99511489053736202</v>
      </c>
      <c r="H190" s="163">
        <f>IF((C190+D190)&gt;0,C190/(C190+D190),"")</f>
        <v>0.33333333333333331</v>
      </c>
      <c r="I190" s="163">
        <f>IF(E190&gt;0,E190/F190,"")</f>
        <v>0.72727272727272729</v>
      </c>
      <c r="J190" s="163"/>
      <c r="K190" s="163"/>
      <c r="L190" s="163"/>
      <c r="M190" s="265" t="str">
        <f>Skötselplan!A326</f>
        <v xml:space="preserve">4.1 Avskjutning för älgskötselområdet </v>
      </c>
    </row>
    <row r="191" spans="1:13" customFormat="1" ht="15" customHeight="1" x14ac:dyDescent="0.25">
      <c r="A191" s="156" t="s">
        <v>1242</v>
      </c>
      <c r="B191" s="144">
        <f>IF(Skötselplan!C$9&gt;0,Skötselplan!C$9+3,"")</f>
        <v>2027</v>
      </c>
      <c r="C191" s="117">
        <f>IF(C190&gt;0,C192/$F192,"")</f>
        <v>0.32625406654610417</v>
      </c>
      <c r="D191" s="117">
        <f>IF(D190&gt;0,D192/$F192,"")</f>
        <v>0.39868424417568138</v>
      </c>
      <c r="E191" s="117">
        <f>IF(E190&gt;0,E192/$F192,"")</f>
        <v>0.27506168927821445</v>
      </c>
      <c r="F191" s="130"/>
      <c r="G191" s="157"/>
      <c r="J191" s="156"/>
      <c r="L191" s="156"/>
      <c r="M191" s="156"/>
    </row>
    <row r="192" spans="1:13" customFormat="1" ht="15" customHeight="1" x14ac:dyDescent="0.25">
      <c r="A192" s="156" t="s">
        <v>1237</v>
      </c>
      <c r="B192" s="144">
        <f>IF(Skötselplan!C$9&gt;0,Skötselplan!C$9+3,"")</f>
        <v>2027</v>
      </c>
      <c r="C192" s="130">
        <f>C189-C190</f>
        <v>45.745268322409459</v>
      </c>
      <c r="D192" s="130">
        <f>D189-D190</f>
        <v>55.900966749042155</v>
      </c>
      <c r="E192" s="130">
        <f>E189-E190</f>
        <v>38.567399065565425</v>
      </c>
      <c r="F192" s="130">
        <f>SUM(C192:E192)</f>
        <v>140.21363413701704</v>
      </c>
      <c r="G192" s="177">
        <f>IF(F192&gt;0,F192/($B$163/1000),"")</f>
        <v>12.684425016918494</v>
      </c>
      <c r="H192" s="156"/>
      <c r="I192" s="156"/>
      <c r="J192" s="178">
        <f>IF(F192&gt;0,C192/(C192+D192),"")</f>
        <v>0.45004390266155059</v>
      </c>
      <c r="K192" s="156"/>
      <c r="L192" s="156"/>
      <c r="M192" s="156"/>
    </row>
    <row r="193" spans="1:13" customFormat="1" ht="15" customHeight="1" x14ac:dyDescent="0.25">
      <c r="A193" s="156" t="s">
        <v>1243</v>
      </c>
      <c r="B193" s="144">
        <f>IF(Skötselplan!C$9&gt;0,Skötselplan!C$9+3,"")</f>
        <v>2027</v>
      </c>
      <c r="C193" s="128">
        <f>$B$165*$E192</f>
        <v>20.055047514094021</v>
      </c>
      <c r="D193" s="128">
        <f>(1-$B$165)*$E192</f>
        <v>18.512351551471404</v>
      </c>
      <c r="E193" s="128">
        <f>((D192+D193)*E$166)+(B$167*E194)</f>
        <v>59.530654640410859</v>
      </c>
      <c r="F193" s="130">
        <f>SUM(C193:E193)</f>
        <v>98.098053705976284</v>
      </c>
      <c r="G193" s="157">
        <f>IF(F193&gt;0,F193/($B$163/1000),"")</f>
        <v>8.8744394523228038</v>
      </c>
      <c r="J193" s="156"/>
      <c r="L193" s="156"/>
      <c r="M193" s="156"/>
    </row>
    <row r="194" spans="1:13" customFormat="1" ht="15" customHeight="1" x14ac:dyDescent="0.25">
      <c r="A194" s="156" t="s">
        <v>1244</v>
      </c>
      <c r="B194" s="144">
        <f>IF(Skötselplan!C$9&gt;0,Skötselplan!C$9+3,"")</f>
        <v>2027</v>
      </c>
      <c r="C194" s="128">
        <f>IF(Skötselplan!$F$300="",0,Skötselplan!$D$300/2)</f>
        <v>0</v>
      </c>
      <c r="D194" s="128">
        <f>IF(Skötselplan!$F$300="",0,Skötselplan!$D$300/2)</f>
        <v>0</v>
      </c>
      <c r="E194" s="128">
        <f>IF(Skötselplan!$E$300="",0,Skötselplan!$E$300)</f>
        <v>0</v>
      </c>
      <c r="F194" s="130">
        <f>SUM(C194:E194)</f>
        <v>0</v>
      </c>
      <c r="G194" s="157" t="str">
        <f>IF(F194&gt;0,F194/($B$163/1000),"")</f>
        <v/>
      </c>
      <c r="J194" s="156"/>
      <c r="L194" s="156"/>
      <c r="M194" s="156"/>
    </row>
    <row r="195" spans="1:13" customFormat="1" ht="15" customHeight="1" x14ac:dyDescent="0.25">
      <c r="A195" s="156" t="s">
        <v>1245</v>
      </c>
      <c r="B195" s="144">
        <f>IF(Skötselplan!C$9&gt;0,Skötselplan!C$9+3,"")</f>
        <v>2027</v>
      </c>
      <c r="C195" s="128">
        <f>$B154*C192</f>
        <v>1.8298107328963784</v>
      </c>
      <c r="D195" s="128">
        <f>$B154*D192</f>
        <v>2.2360386699616863</v>
      </c>
      <c r="E195" s="128">
        <f>$B154*E192</f>
        <v>1.5426959626226171</v>
      </c>
      <c r="F195" s="130">
        <f>SUM(C195:E195)</f>
        <v>5.6085453654806825</v>
      </c>
      <c r="G195" s="157">
        <f>IF(F195&gt;0,F195/($B$163/1000),"")</f>
        <v>0.50737700067673985</v>
      </c>
      <c r="L195" s="156"/>
      <c r="M195" s="156"/>
    </row>
    <row r="196" spans="1:13" customFormat="1" ht="15" customHeight="1" x14ac:dyDescent="0.25">
      <c r="A196" s="156" t="s">
        <v>1198</v>
      </c>
      <c r="B196" s="144">
        <f>IF(Skötselplan!C$9&gt;0,Skötselplan!C$9+3,"")</f>
        <v>2027</v>
      </c>
      <c r="C196" s="130">
        <f>C192+C193-C194-C195</f>
        <v>63.970505103607096</v>
      </c>
      <c r="D196" s="130">
        <f>D192+D193-D195</f>
        <v>72.17727963055188</v>
      </c>
      <c r="E196" s="130">
        <f>E193-E194-E195</f>
        <v>57.987958677788242</v>
      </c>
      <c r="F196" s="130">
        <f>SUM(C196:E196)</f>
        <v>194.1357434119472</v>
      </c>
      <c r="G196" s="157">
        <f>IF(F196&gt;0,F196/($B$163/1000),"")</f>
        <v>17.562488095888114</v>
      </c>
      <c r="H196" s="156"/>
      <c r="I196" s="156"/>
      <c r="J196" s="156"/>
      <c r="K196" s="156"/>
      <c r="L196" s="156"/>
      <c r="M196" s="156"/>
    </row>
    <row r="199" spans="1:13" x14ac:dyDescent="0.2">
      <c r="A199" s="272"/>
      <c r="B199" s="272"/>
      <c r="C199" s="272"/>
      <c r="D199" s="272"/>
      <c r="E199" s="272"/>
    </row>
    <row r="200" spans="1:13" x14ac:dyDescent="0.2">
      <c r="A200" s="273" t="s">
        <v>1246</v>
      </c>
      <c r="B200" s="272"/>
      <c r="C200" s="272"/>
      <c r="D200" s="272"/>
      <c r="E200" s="272"/>
    </row>
    <row r="201" spans="1:13" x14ac:dyDescent="0.2">
      <c r="A201" s="273" t="s">
        <v>1237</v>
      </c>
      <c r="B201" s="272" t="s">
        <v>147</v>
      </c>
      <c r="C201" s="272" t="s">
        <v>194</v>
      </c>
      <c r="D201" s="272" t="s">
        <v>151</v>
      </c>
      <c r="E201" s="272" t="s">
        <v>285</v>
      </c>
    </row>
    <row r="202" spans="1:13" x14ac:dyDescent="0.2">
      <c r="A202" s="272">
        <f>B171</f>
        <v>2024</v>
      </c>
      <c r="B202" s="274">
        <f>+C171</f>
        <v>16.345681693306261</v>
      </c>
      <c r="C202" s="274">
        <f>+D171</f>
        <v>34.05197485524954</v>
      </c>
      <c r="D202" s="274">
        <f>+E171</f>
        <v>13.715543451444201</v>
      </c>
      <c r="E202" s="274">
        <f>SUM(B202:D202)</f>
        <v>64.113200000000006</v>
      </c>
    </row>
    <row r="203" spans="1:13" x14ac:dyDescent="0.2">
      <c r="A203" s="272">
        <f>B178</f>
        <v>2025</v>
      </c>
      <c r="B203" s="274">
        <f>+C178</f>
        <v>21.823937020324994</v>
      </c>
      <c r="C203" s="274">
        <f>+D178</f>
        <v>37.273356717732774</v>
      </c>
      <c r="D203" s="274">
        <f>+E178</f>
        <v>23.95972683149644</v>
      </c>
      <c r="E203" s="274">
        <f>SUM(B203:D203)</f>
        <v>83.057020569554211</v>
      </c>
    </row>
    <row r="204" spans="1:13" x14ac:dyDescent="0.2">
      <c r="A204" s="272">
        <f>B185</f>
        <v>2026</v>
      </c>
      <c r="B204" s="274">
        <f>+C185</f>
        <v>32.410037491890144</v>
      </c>
      <c r="C204" s="274">
        <f>+D185</f>
        <v>45.283091328141751</v>
      </c>
      <c r="D204" s="274">
        <f>+E185</f>
        <v>30.060831404220991</v>
      </c>
      <c r="E204" s="274">
        <f>SUM(B204:D204)</f>
        <v>107.75396022425288</v>
      </c>
    </row>
    <row r="205" spans="1:13" x14ac:dyDescent="0.2">
      <c r="A205" s="272">
        <f>B192</f>
        <v>2027</v>
      </c>
      <c r="B205" s="274">
        <f>+C192</f>
        <v>45.745268322409459</v>
      </c>
      <c r="C205" s="274">
        <f>+D192</f>
        <v>55.900966749042155</v>
      </c>
      <c r="D205" s="274">
        <f>+E192</f>
        <v>38.567399065565425</v>
      </c>
      <c r="E205" s="274">
        <f>SUM(B205:D205)</f>
        <v>140.21363413701704</v>
      </c>
    </row>
    <row r="206" spans="1:13" x14ac:dyDescent="0.2">
      <c r="A206" s="272"/>
      <c r="B206" s="272"/>
      <c r="C206" s="272"/>
      <c r="D206" s="272"/>
      <c r="E206" s="272"/>
    </row>
    <row r="207" spans="1:13" x14ac:dyDescent="0.2">
      <c r="A207" s="272" t="s">
        <v>420</v>
      </c>
      <c r="B207" s="274">
        <f>Skötselplan!B55</f>
        <v>30</v>
      </c>
      <c r="C207" s="274">
        <f>Skötselplan!B56</f>
        <v>41</v>
      </c>
      <c r="D207" s="274">
        <f>Skötselplan!B57</f>
        <v>15</v>
      </c>
      <c r="E207" s="274">
        <f>SUM(B207:D207)</f>
        <v>86</v>
      </c>
      <c r="M207" s="254" t="str">
        <f>Skötselplan!A47</f>
        <v xml:space="preserve">1.1 Mål för älgstammens utveckling inom älgskötselområdet </v>
      </c>
    </row>
    <row r="208" spans="1:13" x14ac:dyDescent="0.2">
      <c r="A208" s="272"/>
      <c r="B208" s="272"/>
      <c r="C208" s="272"/>
      <c r="D208" s="272"/>
      <c r="E208" s="272"/>
    </row>
    <row r="209" spans="1:5" x14ac:dyDescent="0.2">
      <c r="A209" s="272"/>
      <c r="B209" s="272"/>
      <c r="C209" s="272"/>
      <c r="D209" s="272"/>
      <c r="E209" s="272"/>
    </row>
    <row r="210" spans="1:5" x14ac:dyDescent="0.2">
      <c r="A210" s="272"/>
      <c r="B210" s="272"/>
      <c r="C210" s="272"/>
      <c r="D210" s="272"/>
      <c r="E210" s="272"/>
    </row>
  </sheetData>
  <mergeCells count="6">
    <mergeCell ref="A157:E157"/>
    <mergeCell ref="A1:D1"/>
    <mergeCell ref="A45:E45"/>
    <mergeCell ref="A78:E78"/>
    <mergeCell ref="A105:E105"/>
    <mergeCell ref="A142:E142"/>
  </mergeCells>
  <pageMargins left="0.25" right="0.25" top="0.75" bottom="0.75" header="0.3" footer="0.3"/>
  <pageSetup paperSize="9" scale="87" orientation="landscape" r:id="rId1"/>
  <headerFooter alignWithMargins="0">
    <oddHeader>&amp;C&amp;A</oddHeader>
    <oddFooter>&amp;L&amp;F</oddFooter>
  </headerFooter>
  <rowBreaks count="384" manualBreakCount="384">
    <brk id="24" max="10" man="1"/>
    <brk id="46" max="10" man="1"/>
    <brk id="80" max="10" man="1"/>
    <brk id="107" max="10" man="1"/>
    <brk id="142" max="10" man="1"/>
    <brk id="159" max="10" man="1"/>
    <brk id="24" max="1048576" man="1"/>
    <brk id="46" max="1048576" man="1"/>
    <brk id="80" max="1048576" man="1"/>
    <brk id="107" max="1048576" man="1"/>
    <brk id="142" max="1048576" man="1"/>
    <brk id="159" max="1048576" man="1"/>
    <brk id="24" max="1048576" man="1"/>
    <brk id="46" max="1048576" man="1"/>
    <brk id="80" max="1048576" man="1"/>
    <brk id="107" max="1048576" man="1"/>
    <brk id="142" max="1048576" man="1"/>
    <brk id="159" max="1048576" man="1"/>
    <brk id="24" max="1048576" man="1"/>
    <brk id="46" max="1048576" man="1"/>
    <brk id="80" max="1048576" man="1"/>
    <brk id="107" max="1048576" man="1"/>
    <brk id="142" max="1048576" man="1"/>
    <brk id="159" max="1048576" man="1"/>
    <brk id="24" max="1048576" man="1"/>
    <brk id="46" max="1048576" man="1"/>
    <brk id="80" max="1048576" man="1"/>
    <brk id="107" max="1048576" man="1"/>
    <brk id="142" max="1048576" man="1"/>
    <brk id="159" max="1048576" man="1"/>
    <brk id="24" max="1048576" man="1"/>
    <brk id="46" max="1048576" man="1"/>
    <brk id="80" max="1048576" man="1"/>
    <brk id="107" max="1048576" man="1"/>
    <brk id="142" max="1048576" man="1"/>
    <brk id="159" max="1048576" man="1"/>
    <brk id="24" max="1048576" man="1"/>
    <brk id="46" max="1048576" man="1"/>
    <brk id="80" max="1048576" man="1"/>
    <brk id="107" max="1048576" man="1"/>
    <brk id="142" max="1048576" man="1"/>
    <brk id="159" max="1048576" man="1"/>
    <brk id="24" max="1048576" man="1"/>
    <brk id="46" max="1048576" man="1"/>
    <brk id="80" max="1048576" man="1"/>
    <brk id="107" max="1048576" man="1"/>
    <brk id="142" max="1048576" man="1"/>
    <brk id="159" max="1048576" man="1"/>
    <brk id="24" max="1048576" man="1"/>
    <brk id="46" max="1048576" man="1"/>
    <brk id="80" max="1048576" man="1"/>
    <brk id="107" max="1048576" man="1"/>
    <brk id="142" max="1048576" man="1"/>
    <brk id="159" max="1048576" man="1"/>
    <brk id="24" max="1048576" man="1"/>
    <brk id="46" max="1048576" man="1"/>
    <brk id="80" max="1048576" man="1"/>
    <brk id="107" max="1048576" man="1"/>
    <brk id="142" max="1048576" man="1"/>
    <brk id="159" max="1048576" man="1"/>
    <brk id="24" max="1048576" man="1"/>
    <brk id="46" max="1048576" man="1"/>
    <brk id="80" max="1048576" man="1"/>
    <brk id="107" max="1048576" man="1"/>
    <brk id="142" max="1048576" man="1"/>
    <brk id="159" max="1048576" man="1"/>
    <brk id="24" max="1048576" man="1"/>
    <brk id="46" max="1048576" man="1"/>
    <brk id="80" max="1048576" man="1"/>
    <brk id="107" max="1048576" man="1"/>
    <brk id="142" max="1048576" man="1"/>
    <brk id="159" max="1048576" man="1"/>
    <brk id="24" max="1048576" man="1"/>
    <brk id="46" max="1048576" man="1"/>
    <brk id="80" max="1048576" man="1"/>
    <brk id="107" max="1048576" man="1"/>
    <brk id="142" max="1048576" man="1"/>
    <brk id="159" max="1048576" man="1"/>
    <brk id="24" max="1048576" man="1"/>
    <brk id="46" max="1048576" man="1"/>
    <brk id="80" max="1048576" man="1"/>
    <brk id="107" max="1048576" man="1"/>
    <brk id="142" max="1048576" man="1"/>
    <brk id="159" max="1048576" man="1"/>
    <brk id="24" max="1048576" man="1"/>
    <brk id="46" max="1048576" man="1"/>
    <brk id="80" max="1048576" man="1"/>
    <brk id="107" max="1048576" man="1"/>
    <brk id="142" max="1048576" man="1"/>
    <brk id="159" max="1048576" man="1"/>
    <brk id="24" max="1048576" man="1"/>
    <brk id="46" max="1048576" man="1"/>
    <brk id="80" max="1048576" man="1"/>
    <brk id="107" max="1048576" man="1"/>
    <brk id="142" max="1048576" man="1"/>
    <brk id="159" max="1048576" man="1"/>
    <brk id="24" max="1048576" man="1"/>
    <brk id="46" max="1048576" man="1"/>
    <brk id="80" max="1048576" man="1"/>
    <brk id="107" max="1048576" man="1"/>
    <brk id="142" max="1048576" man="1"/>
    <brk id="159" max="1048576" man="1"/>
    <brk id="24" max="1048576" man="1"/>
    <brk id="46" max="1048576" man="1"/>
    <brk id="80" max="1048576" man="1"/>
    <brk id="107" max="1048576" man="1"/>
    <brk id="142" max="1048576" man="1"/>
    <brk id="159" max="1048576" man="1"/>
    <brk id="24" max="1048576" man="1"/>
    <brk id="46" max="1048576" man="1"/>
    <brk id="80" max="1048576" man="1"/>
    <brk id="107" max="1048576" man="1"/>
    <brk id="142" max="1048576" man="1"/>
    <brk id="159" max="1048576" man="1"/>
    <brk id="24" max="1048576" man="1"/>
    <brk id="46" max="1048576" man="1"/>
    <brk id="80" max="1048576" man="1"/>
    <brk id="107" max="1048576" man="1"/>
    <brk id="142" max="1048576" man="1"/>
    <brk id="159" max="1048576" man="1"/>
    <brk id="24" max="1048576" man="1"/>
    <brk id="46" max="1048576" man="1"/>
    <brk id="80" max="1048576" man="1"/>
    <brk id="107" max="1048576" man="1"/>
    <brk id="142" max="1048576" man="1"/>
    <brk id="159" max="1048576" man="1"/>
    <brk id="24" max="1048576" man="1"/>
    <brk id="46" max="1048576" man="1"/>
    <brk id="80" max="1048576" man="1"/>
    <brk id="107" max="1048576" man="1"/>
    <brk id="142" max="1048576" man="1"/>
    <brk id="159" max="1048576" man="1"/>
    <brk id="24" max="1048576" man="1"/>
    <brk id="46" max="1048576" man="1"/>
    <brk id="80" max="1048576" man="1"/>
    <brk id="107" max="1048576" man="1"/>
    <brk id="142" max="1048576" man="1"/>
    <brk id="159" max="1048576" man="1"/>
    <brk id="24" max="1048576" man="1"/>
    <brk id="46" max="1048576" man="1"/>
    <brk id="80" max="1048576" man="1"/>
    <brk id="107" max="1048576" man="1"/>
    <brk id="142" max="1048576" man="1"/>
    <brk id="159" max="1048576" man="1"/>
    <brk id="24" max="1048576" man="1"/>
    <brk id="46" max="1048576" man="1"/>
    <brk id="80" max="1048576" man="1"/>
    <brk id="107" max="1048576" man="1"/>
    <brk id="142" max="1048576" man="1"/>
    <brk id="159" max="1048576" man="1"/>
    <brk id="24" max="1048576" man="1"/>
    <brk id="46" max="1048576" man="1"/>
    <brk id="80" max="1048576" man="1"/>
    <brk id="107" max="1048576" man="1"/>
    <brk id="142" max="1048576" man="1"/>
    <brk id="159" max="1048576" man="1"/>
    <brk id="24" max="1048576" man="1"/>
    <brk id="46" max="1048576" man="1"/>
    <brk id="80" max="1048576" man="1"/>
    <brk id="107" max="1048576" man="1"/>
    <brk id="142" max="1048576" man="1"/>
    <brk id="159" max="1048576" man="1"/>
    <brk id="24" max="1048576" man="1"/>
    <brk id="46" max="1048576" man="1"/>
    <brk id="80" max="1048576" man="1"/>
    <brk id="107" max="1048576" man="1"/>
    <brk id="142" max="1048576" man="1"/>
    <brk id="159" max="1048576" man="1"/>
    <brk id="24" max="1048576" man="1"/>
    <brk id="46" max="1048576" man="1"/>
    <brk id="80" max="1048576" man="1"/>
    <brk id="107" max="1048576" man="1"/>
    <brk id="142" max="1048576" man="1"/>
    <brk id="159" max="1048576" man="1"/>
    <brk id="24" max="1048576" man="1"/>
    <brk id="46" max="1048576" man="1"/>
    <brk id="80" max="1048576" man="1"/>
    <brk id="107" max="1048576" man="1"/>
    <brk id="142" max="1048576" man="1"/>
    <brk id="159" max="1048576" man="1"/>
    <brk id="24" max="1048576" man="1"/>
    <brk id="46" max="1048576" man="1"/>
    <brk id="80" max="1048576" man="1"/>
    <brk id="107" max="1048576" man="1"/>
    <brk id="142" max="1048576" man="1"/>
    <brk id="159" max="1048576" man="1"/>
    <brk id="24" max="1048576" man="1"/>
    <brk id="46" max="1048576" man="1"/>
    <brk id="80" max="1048576" man="1"/>
    <brk id="107" max="1048576" man="1"/>
    <brk id="142" max="1048576" man="1"/>
    <brk id="159" max="1048576" man="1"/>
    <brk id="24" max="1048576" man="1"/>
    <brk id="46" max="1048576" man="1"/>
    <brk id="80" max="1048576" man="1"/>
    <brk id="107" max="1048576" man="1"/>
    <brk id="142" max="1048576" man="1"/>
    <brk id="159" max="1048576" man="1"/>
    <brk id="24" max="1048576" man="1"/>
    <brk id="46" max="1048576" man="1"/>
    <brk id="80" max="1048576" man="1"/>
    <brk id="107" max="1048576" man="1"/>
    <brk id="142" max="1048576" man="1"/>
    <brk id="159" max="1048576" man="1"/>
    <brk id="24" max="1048576" man="1"/>
    <brk id="46" max="1048576" man="1"/>
    <brk id="80" max="1048576" man="1"/>
    <brk id="107" max="1048576" man="1"/>
    <brk id="142" max="1048576" man="1"/>
    <brk id="159" max="1048576" man="1"/>
    <brk id="24" max="1048576" man="1"/>
    <brk id="46" max="1048576" man="1"/>
    <brk id="80" max="1048576" man="1"/>
    <brk id="107" max="1048576" man="1"/>
    <brk id="142" max="1048576" man="1"/>
    <brk id="159" max="1048576" man="1"/>
    <brk id="24" max="1048576" man="1"/>
    <brk id="46" max="1048576" man="1"/>
    <brk id="80" max="1048576" man="1"/>
    <brk id="107" max="1048576" man="1"/>
    <brk id="142" max="1048576" man="1"/>
    <brk id="159" max="1048576" man="1"/>
    <brk id="24" max="1048576" man="1"/>
    <brk id="46" max="1048576" man="1"/>
    <brk id="80" max="1048576" man="1"/>
    <brk id="107" max="1048576" man="1"/>
    <brk id="142" max="1048576" man="1"/>
    <brk id="159" max="1048576" man="1"/>
    <brk id="24" max="1048576" man="1"/>
    <brk id="46" max="1048576" man="1"/>
    <brk id="80" max="1048576" man="1"/>
    <brk id="107" max="1048576" man="1"/>
    <brk id="142" max="1048576" man="1"/>
    <brk id="159" max="1048576" man="1"/>
    <brk id="24" max="1048576" man="1"/>
    <brk id="46" max="1048576" man="1"/>
    <brk id="80" max="1048576" man="1"/>
    <brk id="107" max="1048576" man="1"/>
    <brk id="142" max="1048576" man="1"/>
    <brk id="159" max="1048576" man="1"/>
    <brk id="24" max="1048576" man="1"/>
    <brk id="46" max="1048576" man="1"/>
    <brk id="80" max="1048576" man="1"/>
    <brk id="107" max="1048576" man="1"/>
    <brk id="142" max="1048576" man="1"/>
    <brk id="159" max="1048576" man="1"/>
    <brk id="24" max="1048576" man="1"/>
    <brk id="46" max="1048576" man="1"/>
    <brk id="80" max="1048576" man="1"/>
    <brk id="107" max="1048576" man="1"/>
    <brk id="142" max="1048576" man="1"/>
    <brk id="159" max="1048576" man="1"/>
    <brk id="24" max="1048576" man="1"/>
    <brk id="46" max="1048576" man="1"/>
    <brk id="80" max="1048576" man="1"/>
    <brk id="107" max="1048576" man="1"/>
    <brk id="142" max="1048576" man="1"/>
    <brk id="159" max="1048576" man="1"/>
    <brk id="24" max="1048576" man="1"/>
    <brk id="46" max="1048576" man="1"/>
    <brk id="80" max="1048576" man="1"/>
    <brk id="107" max="1048576" man="1"/>
    <brk id="142" max="1048576" man="1"/>
    <brk id="159" max="1048576" man="1"/>
    <brk id="24" max="1048576" man="1"/>
    <brk id="46" max="1048576" man="1"/>
    <brk id="80" max="1048576" man="1"/>
    <brk id="107" max="1048576" man="1"/>
    <brk id="142" max="1048576" man="1"/>
    <brk id="159" max="1048576" man="1"/>
    <brk id="24" max="1048576" man="1"/>
    <brk id="46" max="1048576" man="1"/>
    <brk id="80" max="1048576" man="1"/>
    <brk id="107" max="1048576" man="1"/>
    <brk id="142" max="1048576" man="1"/>
    <brk id="159" max="1048576" man="1"/>
    <brk id="24" max="1048576" man="1"/>
    <brk id="46" max="1048576" man="1"/>
    <brk id="80" max="1048576" man="1"/>
    <brk id="107" max="1048576" man="1"/>
    <brk id="142" max="1048576" man="1"/>
    <brk id="159" max="1048576" man="1"/>
    <brk id="24" max="1048576" man="1"/>
    <brk id="46" max="1048576" man="1"/>
    <brk id="80" max="1048576" man="1"/>
    <brk id="107" max="1048576" man="1"/>
    <brk id="142" max="1048576" man="1"/>
    <brk id="159" max="1048576" man="1"/>
    <brk id="24" max="1048576" man="1"/>
    <brk id="46" max="1048576" man="1"/>
    <brk id="80" max="1048576" man="1"/>
    <brk id="107" max="1048576" man="1"/>
    <brk id="142" max="1048576" man="1"/>
    <brk id="159" max="1048576" man="1"/>
    <brk id="24" max="1048576" man="1"/>
    <brk id="46" max="1048576" man="1"/>
    <brk id="80" max="1048576" man="1"/>
    <brk id="107" max="1048576" man="1"/>
    <brk id="142" max="1048576" man="1"/>
    <brk id="159" max="1048576" man="1"/>
    <brk id="24" max="1048576" man="1"/>
    <brk id="46" max="1048576" man="1"/>
    <brk id="80" max="1048576" man="1"/>
    <brk id="107" max="1048576" man="1"/>
    <brk id="142" max="1048576" man="1"/>
    <brk id="159" max="1048576" man="1"/>
    <brk id="24" max="1048576" man="1"/>
    <brk id="46" max="1048576" man="1"/>
    <brk id="80" max="1048576" man="1"/>
    <brk id="107" max="1048576" man="1"/>
    <brk id="142" max="1048576" man="1"/>
    <brk id="159" max="1048576" man="1"/>
    <brk id="24" max="1048576" man="1"/>
    <brk id="46" max="1048576" man="1"/>
    <brk id="80" max="1048576" man="1"/>
    <brk id="107" max="1048576" man="1"/>
    <brk id="142" max="1048576" man="1"/>
    <brk id="159" max="1048576" man="1"/>
    <brk id="24" max="1048576" man="1"/>
    <brk id="46" max="1048576" man="1"/>
    <brk id="80" max="1048576" man="1"/>
    <brk id="107" max="1048576" man="1"/>
    <brk id="142" max="1048576" man="1"/>
    <brk id="159" max="1048576" man="1"/>
    <brk id="24" max="1048576" man="1"/>
    <brk id="46" max="1048576" man="1"/>
    <brk id="80" max="1048576" man="1"/>
    <brk id="107" max="1048576" man="1"/>
    <brk id="142" max="1048576" man="1"/>
    <brk id="159" max="1048576" man="1"/>
    <brk id="24" max="1048576" man="1"/>
    <brk id="46" max="1048576" man="1"/>
    <brk id="80" max="1048576" man="1"/>
    <brk id="107" max="1048576" man="1"/>
    <brk id="142" max="1048576" man="1"/>
    <brk id="159" max="1048576" man="1"/>
    <brk id="24" max="1048576" man="1"/>
    <brk id="46" max="1048576" man="1"/>
    <brk id="80" max="1048576" man="1"/>
    <brk id="107" max="1048576" man="1"/>
    <brk id="142" max="1048576" man="1"/>
    <brk id="159" max="1048576" man="1"/>
    <brk id="24" max="1048576" man="1"/>
    <brk id="46" max="1048576" man="1"/>
    <brk id="80" max="1048576" man="1"/>
    <brk id="107" max="1048576" man="1"/>
    <brk id="142" max="1048576" man="1"/>
    <brk id="159" max="1048576" man="1"/>
    <brk id="24" max="1048576" man="1"/>
    <brk id="46" max="1048576" man="1"/>
    <brk id="80" max="1048576" man="1"/>
    <brk id="107" max="1048576" man="1"/>
    <brk id="142" max="1048576" man="1"/>
    <brk id="159" max="1048576" man="1"/>
    <brk id="24" max="1048576" man="1"/>
    <brk id="46" max="1048576" man="1"/>
    <brk id="80" max="1048576" man="1"/>
    <brk id="107" max="1048576" man="1"/>
    <brk id="142" max="1048576" man="1"/>
    <brk id="159" max="1048576" man="1"/>
    <brk id="24" max="1048576" man="1"/>
    <brk id="46" max="1048576" man="1"/>
    <brk id="80" max="1048576" man="1"/>
    <brk id="107" max="1048576" man="1"/>
    <brk id="142" max="1048576" man="1"/>
    <brk id="159" max="1048576" man="1"/>
    <brk id="24" max="1048576" man="1"/>
    <brk id="46" max="1048576" man="1"/>
    <brk id="80" max="1048576" man="1"/>
    <brk id="107" max="1048576" man="1"/>
    <brk id="142" max="1048576" man="1"/>
    <brk id="159" max="1048576" man="1"/>
    <brk id="24" max="1048576" man="1"/>
    <brk id="46" max="1048576" man="1"/>
    <brk id="80" max="1048576" man="1"/>
    <brk id="107" max="1048576" man="1"/>
    <brk id="142" max="1048576" man="1"/>
    <brk id="159" max="1048576" man="1"/>
    <brk id="24" max="1048576" man="1"/>
    <brk id="46" max="1048576" man="1"/>
    <brk id="80" max="1048576" man="1"/>
    <brk id="107" max="1048576" man="1"/>
    <brk id="142" max="1048576" man="1"/>
    <brk id="159" max="1048576" man="1"/>
  </rowBreaks>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5"/>
  <dimension ref="A1:H95"/>
  <sheetViews>
    <sheetView topLeftCell="A70" workbookViewId="0">
      <selection activeCell="C89" sqref="C89"/>
    </sheetView>
  </sheetViews>
  <sheetFormatPr defaultRowHeight="15" x14ac:dyDescent="0.25"/>
  <sheetData>
    <row r="1" spans="1:2" x14ac:dyDescent="0.25">
      <c r="A1" t="s">
        <v>99</v>
      </c>
      <c r="B1" t="s">
        <v>1247</v>
      </c>
    </row>
    <row r="3" spans="1:2" x14ac:dyDescent="0.25">
      <c r="A3" t="s">
        <v>1248</v>
      </c>
      <c r="B3">
        <v>2024</v>
      </c>
    </row>
    <row r="4" spans="1:2" x14ac:dyDescent="0.25">
      <c r="A4" t="s">
        <v>1249</v>
      </c>
      <c r="B4">
        <v>2026</v>
      </c>
    </row>
    <row r="6" spans="1:2" x14ac:dyDescent="0.25">
      <c r="A6" t="s">
        <v>1250</v>
      </c>
      <c r="B6">
        <v>11384</v>
      </c>
    </row>
    <row r="8" spans="1:2" x14ac:dyDescent="0.25">
      <c r="A8" t="s">
        <v>116</v>
      </c>
      <c r="B8" t="s">
        <v>1251</v>
      </c>
    </row>
    <row r="9" spans="1:2" x14ac:dyDescent="0.25">
      <c r="A9" t="s">
        <v>1252</v>
      </c>
      <c r="B9" t="s">
        <v>665</v>
      </c>
    </row>
    <row r="10" spans="1:2" x14ac:dyDescent="0.25">
      <c r="A10" t="s">
        <v>1253</v>
      </c>
      <c r="B10" t="s">
        <v>1254</v>
      </c>
    </row>
    <row r="11" spans="1:2" x14ac:dyDescent="0.25">
      <c r="A11" t="s">
        <v>1255</v>
      </c>
      <c r="B11" t="s">
        <v>1256</v>
      </c>
    </row>
    <row r="16" spans="1:2" x14ac:dyDescent="0.25">
      <c r="A16" t="s">
        <v>1257</v>
      </c>
    </row>
    <row r="17" spans="1:6" x14ac:dyDescent="0.25">
      <c r="A17" t="s">
        <v>1258</v>
      </c>
      <c r="B17">
        <v>2021</v>
      </c>
      <c r="C17">
        <v>2022</v>
      </c>
      <c r="D17">
        <v>2023</v>
      </c>
    </row>
    <row r="18" spans="1:6" x14ac:dyDescent="0.25">
      <c r="A18" t="s">
        <v>1259</v>
      </c>
      <c r="B18">
        <v>8</v>
      </c>
      <c r="C18">
        <v>8</v>
      </c>
      <c r="D18">
        <v>6</v>
      </c>
    </row>
    <row r="19" spans="1:6" x14ac:dyDescent="0.25">
      <c r="A19" t="s">
        <v>1260</v>
      </c>
      <c r="B19">
        <v>7</v>
      </c>
      <c r="C19">
        <v>6</v>
      </c>
      <c r="D19">
        <v>2</v>
      </c>
    </row>
    <row r="20" spans="1:6" x14ac:dyDescent="0.25">
      <c r="A20" t="s">
        <v>1261</v>
      </c>
      <c r="B20">
        <v>16</v>
      </c>
      <c r="C20">
        <v>11</v>
      </c>
      <c r="D20">
        <v>5</v>
      </c>
    </row>
    <row r="21" spans="1:6" x14ac:dyDescent="0.25">
      <c r="A21" t="s">
        <v>1213</v>
      </c>
      <c r="B21">
        <v>11584.39</v>
      </c>
      <c r="C21">
        <v>11584.39</v>
      </c>
      <c r="D21">
        <v>11384.13</v>
      </c>
    </row>
    <row r="26" spans="1:6" x14ac:dyDescent="0.25">
      <c r="A26" t="s">
        <v>465</v>
      </c>
    </row>
    <row r="27" spans="1:6" x14ac:dyDescent="0.25">
      <c r="A27" t="s">
        <v>1262</v>
      </c>
      <c r="B27">
        <v>2019</v>
      </c>
      <c r="C27">
        <v>2020</v>
      </c>
      <c r="D27">
        <v>2021</v>
      </c>
      <c r="E27">
        <v>2022</v>
      </c>
      <c r="F27">
        <v>2023</v>
      </c>
    </row>
    <row r="28" spans="1:6" x14ac:dyDescent="0.25">
      <c r="A28" t="s">
        <v>1263</v>
      </c>
      <c r="B28">
        <v>2381</v>
      </c>
      <c r="C28">
        <v>3237</v>
      </c>
      <c r="D28">
        <v>2738</v>
      </c>
      <c r="E28">
        <v>2705</v>
      </c>
      <c r="F28">
        <v>1027</v>
      </c>
    </row>
    <row r="29" spans="1:6" x14ac:dyDescent="0.25">
      <c r="A29" t="s">
        <v>1264</v>
      </c>
      <c r="B29">
        <v>9.74E-2</v>
      </c>
      <c r="C29">
        <v>7.2900000000000006E-2</v>
      </c>
      <c r="D29">
        <v>8.0399999999999999E-2</v>
      </c>
      <c r="E29">
        <v>6.9099999999999995E-2</v>
      </c>
      <c r="F29">
        <v>6.4299999999999996E-2</v>
      </c>
    </row>
    <row r="30" spans="1:6" x14ac:dyDescent="0.25">
      <c r="A30" t="s">
        <v>1265</v>
      </c>
      <c r="B30">
        <v>0.68799999999999994</v>
      </c>
      <c r="C30">
        <v>0.52900000000000003</v>
      </c>
      <c r="D30">
        <v>0.73799999999999999</v>
      </c>
      <c r="E30">
        <v>0.313</v>
      </c>
      <c r="F30">
        <v>0.59299999999999997</v>
      </c>
    </row>
    <row r="31" spans="1:6" x14ac:dyDescent="0.25">
      <c r="A31" t="s">
        <v>1266</v>
      </c>
      <c r="B31">
        <v>0.41099999999999998</v>
      </c>
      <c r="C31">
        <v>0.35399999999999998</v>
      </c>
      <c r="D31">
        <v>0.433</v>
      </c>
      <c r="E31">
        <v>0.32700000000000001</v>
      </c>
      <c r="F31">
        <v>0.46</v>
      </c>
    </row>
    <row r="36" spans="1:6" x14ac:dyDescent="0.25">
      <c r="A36" t="s">
        <v>466</v>
      </c>
    </row>
    <row r="37" spans="1:6" x14ac:dyDescent="0.25">
      <c r="A37" t="s">
        <v>1267</v>
      </c>
      <c r="B37">
        <v>2019</v>
      </c>
      <c r="C37">
        <v>2020</v>
      </c>
      <c r="D37">
        <v>2021</v>
      </c>
      <c r="E37">
        <v>2022</v>
      </c>
      <c r="F37">
        <v>2023</v>
      </c>
    </row>
    <row r="38" spans="1:6" x14ac:dyDescent="0.25">
      <c r="A38" t="s">
        <v>1268</v>
      </c>
      <c r="B38">
        <v>0</v>
      </c>
      <c r="C38">
        <v>0</v>
      </c>
      <c r="D38">
        <v>0</v>
      </c>
      <c r="E38">
        <v>0</v>
      </c>
      <c r="F38">
        <v>0</v>
      </c>
    </row>
    <row r="39" spans="1:6" x14ac:dyDescent="0.25">
      <c r="A39" t="s">
        <v>1269</v>
      </c>
      <c r="B39">
        <v>51</v>
      </c>
      <c r="C39">
        <v>52</v>
      </c>
      <c r="D39">
        <v>50</v>
      </c>
      <c r="E39">
        <v>46</v>
      </c>
      <c r="F39">
        <v>59</v>
      </c>
    </row>
    <row r="40" spans="1:6" x14ac:dyDescent="0.25">
      <c r="A40" t="s">
        <v>1270</v>
      </c>
      <c r="B40">
        <v>51</v>
      </c>
      <c r="C40">
        <v>52</v>
      </c>
      <c r="D40">
        <v>50</v>
      </c>
      <c r="E40">
        <v>46</v>
      </c>
      <c r="F40">
        <v>59</v>
      </c>
    </row>
    <row r="41" spans="1:6" x14ac:dyDescent="0.25">
      <c r="A41" t="s">
        <v>1271</v>
      </c>
      <c r="B41">
        <v>15</v>
      </c>
      <c r="C41">
        <v>14</v>
      </c>
      <c r="D41">
        <v>16</v>
      </c>
      <c r="E41">
        <v>8</v>
      </c>
      <c r="F41">
        <v>5</v>
      </c>
    </row>
    <row r="46" spans="1:6" x14ac:dyDescent="0.25">
      <c r="A46" t="s">
        <v>1272</v>
      </c>
    </row>
    <row r="47" spans="1:6" x14ac:dyDescent="0.25">
      <c r="A47" t="s">
        <v>1273</v>
      </c>
      <c r="B47">
        <v>2019</v>
      </c>
      <c r="C47">
        <v>2020</v>
      </c>
      <c r="D47">
        <v>2021</v>
      </c>
      <c r="E47">
        <v>2022</v>
      </c>
      <c r="F47">
        <v>2023</v>
      </c>
    </row>
    <row r="48" spans="1:6" x14ac:dyDescent="0.25">
      <c r="A48" t="s">
        <v>1274</v>
      </c>
      <c r="B48">
        <v>140</v>
      </c>
      <c r="C48">
        <v>160</v>
      </c>
      <c r="D48">
        <v>139</v>
      </c>
      <c r="E48">
        <v>155</v>
      </c>
      <c r="F48">
        <v>155</v>
      </c>
    </row>
    <row r="49" spans="1:6" x14ac:dyDescent="0.25">
      <c r="A49" t="s">
        <v>1275</v>
      </c>
      <c r="B49">
        <v>6</v>
      </c>
      <c r="C49">
        <v>6</v>
      </c>
      <c r="D49">
        <v>7</v>
      </c>
      <c r="E49">
        <v>6</v>
      </c>
      <c r="F49">
        <v>1</v>
      </c>
    </row>
    <row r="56" spans="1:6" x14ac:dyDescent="0.25">
      <c r="A56" t="s">
        <v>1276</v>
      </c>
    </row>
    <row r="57" spans="1:6" x14ac:dyDescent="0.25">
      <c r="A57" t="s">
        <v>1277</v>
      </c>
      <c r="B57">
        <v>2019</v>
      </c>
      <c r="C57">
        <v>2020</v>
      </c>
      <c r="D57">
        <v>2021</v>
      </c>
      <c r="E57">
        <v>2022</v>
      </c>
      <c r="F57">
        <v>2023</v>
      </c>
    </row>
    <row r="58" spans="1:6" x14ac:dyDescent="0.25">
      <c r="A58" t="s">
        <v>1278</v>
      </c>
      <c r="B58">
        <v>164</v>
      </c>
      <c r="C58">
        <v>152</v>
      </c>
      <c r="D58">
        <v>171</v>
      </c>
      <c r="E58">
        <v>183</v>
      </c>
      <c r="F58">
        <v>143</v>
      </c>
    </row>
    <row r="59" spans="1:6" x14ac:dyDescent="0.25">
      <c r="A59" t="s">
        <v>1279</v>
      </c>
      <c r="B59">
        <v>12</v>
      </c>
      <c r="C59">
        <v>7</v>
      </c>
      <c r="D59">
        <v>7</v>
      </c>
      <c r="E59">
        <v>7</v>
      </c>
      <c r="F59">
        <v>6</v>
      </c>
    </row>
    <row r="66" spans="1:6" x14ac:dyDescent="0.25">
      <c r="A66" t="s">
        <v>1280</v>
      </c>
    </row>
    <row r="67" spans="1:6" x14ac:dyDescent="0.25">
      <c r="A67" t="s">
        <v>1281</v>
      </c>
      <c r="B67">
        <v>2019</v>
      </c>
      <c r="C67">
        <v>2020</v>
      </c>
      <c r="D67">
        <v>2021</v>
      </c>
      <c r="E67">
        <v>2022</v>
      </c>
      <c r="F67">
        <v>2023</v>
      </c>
    </row>
    <row r="68" spans="1:6" x14ac:dyDescent="0.25">
      <c r="A68" t="s">
        <v>256</v>
      </c>
      <c r="B68">
        <v>1</v>
      </c>
      <c r="C68">
        <v>3</v>
      </c>
      <c r="D68">
        <v>3</v>
      </c>
      <c r="E68">
        <v>3</v>
      </c>
      <c r="F68">
        <v>8</v>
      </c>
    </row>
    <row r="69" spans="1:6" x14ac:dyDescent="0.25">
      <c r="A69" t="s">
        <v>259</v>
      </c>
      <c r="B69">
        <v>3</v>
      </c>
      <c r="C69">
        <v>2</v>
      </c>
      <c r="D69">
        <v>4</v>
      </c>
      <c r="E69">
        <v>4</v>
      </c>
      <c r="F69">
        <v>2</v>
      </c>
    </row>
    <row r="76" spans="1:6" x14ac:dyDescent="0.25">
      <c r="A76" t="s">
        <v>1228</v>
      </c>
    </row>
    <row r="77" spans="1:6" x14ac:dyDescent="0.25">
      <c r="A77" t="s">
        <v>1282</v>
      </c>
      <c r="B77">
        <v>2019</v>
      </c>
      <c r="C77">
        <v>2020</v>
      </c>
      <c r="D77">
        <v>2021</v>
      </c>
      <c r="E77">
        <v>2022</v>
      </c>
      <c r="F77">
        <v>2023</v>
      </c>
    </row>
    <row r="78" spans="1:6" x14ac:dyDescent="0.25">
      <c r="A78" t="s">
        <v>1283</v>
      </c>
      <c r="B78" t="s">
        <v>1284</v>
      </c>
      <c r="C78" t="s">
        <v>1284</v>
      </c>
      <c r="D78" t="s">
        <v>1284</v>
      </c>
      <c r="E78" t="s">
        <v>1284</v>
      </c>
      <c r="F78" t="s">
        <v>1284</v>
      </c>
    </row>
    <row r="86" spans="1:8" x14ac:dyDescent="0.25">
      <c r="A86" t="s">
        <v>1285</v>
      </c>
    </row>
    <row r="87" spans="1:8" x14ac:dyDescent="0.25">
      <c r="A87" t="s">
        <v>1286</v>
      </c>
      <c r="B87">
        <v>2021</v>
      </c>
      <c r="C87">
        <v>2022</v>
      </c>
      <c r="D87">
        <v>2023</v>
      </c>
      <c r="E87">
        <v>2024</v>
      </c>
      <c r="F87">
        <v>2025</v>
      </c>
      <c r="G87">
        <v>2026</v>
      </c>
      <c r="H87">
        <v>2027</v>
      </c>
    </row>
    <row r="88" spans="1:8" x14ac:dyDescent="0.25">
      <c r="A88" t="s">
        <v>338</v>
      </c>
      <c r="B88">
        <v>6843</v>
      </c>
      <c r="C88">
        <v>6921</v>
      </c>
      <c r="D88">
        <v>7046</v>
      </c>
      <c r="E88">
        <v>7137</v>
      </c>
      <c r="F88">
        <v>7282</v>
      </c>
      <c r="G88">
        <v>7413</v>
      </c>
      <c r="H88">
        <v>7489</v>
      </c>
    </row>
    <row r="89" spans="1:8" x14ac:dyDescent="0.25">
      <c r="A89" t="s">
        <v>340</v>
      </c>
      <c r="C89">
        <v>0</v>
      </c>
      <c r="D89">
        <v>68</v>
      </c>
      <c r="E89">
        <v>0</v>
      </c>
    </row>
    <row r="90" spans="1:8" x14ac:dyDescent="0.25">
      <c r="A90" t="s">
        <v>1287</v>
      </c>
      <c r="B90">
        <v>2019</v>
      </c>
      <c r="C90">
        <v>2021</v>
      </c>
      <c r="D90">
        <v>2023</v>
      </c>
    </row>
    <row r="91" spans="1:8" x14ac:dyDescent="0.25">
      <c r="A91" t="s">
        <v>350</v>
      </c>
      <c r="B91">
        <v>26.8</v>
      </c>
      <c r="C91">
        <v>11</v>
      </c>
      <c r="D91">
        <v>28.8</v>
      </c>
      <c r="E91">
        <v>20.3</v>
      </c>
    </row>
    <row r="92" spans="1:8" x14ac:dyDescent="0.25">
      <c r="A92" t="s">
        <v>352</v>
      </c>
      <c r="B92">
        <v>51.9</v>
      </c>
      <c r="C92">
        <v>53.4</v>
      </c>
      <c r="D92">
        <v>43.2</v>
      </c>
      <c r="E92">
        <v>50.1</v>
      </c>
    </row>
    <row r="93" spans="1:8" x14ac:dyDescent="0.25">
      <c r="A93" t="s">
        <v>355</v>
      </c>
      <c r="B93">
        <v>0</v>
      </c>
      <c r="C93">
        <v>11.3</v>
      </c>
      <c r="D93">
        <v>7.2</v>
      </c>
      <c r="E93">
        <v>6</v>
      </c>
    </row>
    <row r="94" spans="1:8" x14ac:dyDescent="0.25">
      <c r="A94" t="s">
        <v>358</v>
      </c>
      <c r="B94">
        <v>4</v>
      </c>
      <c r="C94">
        <v>3</v>
      </c>
      <c r="D94">
        <v>5</v>
      </c>
      <c r="E94">
        <v>4</v>
      </c>
    </row>
    <row r="95" spans="1:8" x14ac:dyDescent="0.25">
      <c r="A95" t="s">
        <v>360</v>
      </c>
      <c r="B95">
        <v>2.1</v>
      </c>
      <c r="C95">
        <v>1.3</v>
      </c>
      <c r="D95">
        <v>1.1000000000000001</v>
      </c>
      <c r="E95">
        <v>1.6E-2</v>
      </c>
    </row>
  </sheetData>
  <sheetProtection password="DB3D" sheet="1" objects="1"/>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Blad51"/>
  <dimension ref="A1"/>
  <sheetViews>
    <sheetView topLeftCell="A36" workbookViewId="0">
      <selection activeCell="H45" sqref="H45"/>
    </sheetView>
  </sheetViews>
  <sheetFormatPr defaultRowHeight="15" x14ac:dyDescent="0.25"/>
  <sheetData/>
  <sheetProtection algorithmName="SHA-512" hashValue="ILFctwLv9pH7N9clJRXJ/ogNq8HMTFaSrhK5XH5iJTgc4F1OF+p8hcDxMBUG+aJXLAZxdpStyrRV3AdGs5ZD+w==" saltValue="uPJSSiKy6I1Ihbb+1I/F+A==" spinCount="100000" sheet="1" objects="1"/>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Blad6"/>
  <dimension ref="A1"/>
  <sheetViews>
    <sheetView workbookViewId="0">
      <selection activeCell="L36" sqref="L36"/>
    </sheetView>
  </sheetViews>
  <sheetFormatPr defaultRowHeight="15" x14ac:dyDescent="0.25"/>
  <sheetData/>
  <sheetProtection algorithmName="SHA-512" hashValue="SATLheyjBTDOUE0nm8Yf8LI7ZOObLmzxS9B/Sk/NWjIIZBEM/VqqZv+Ut0IFrHETSEUtouM+1Gk8cKj5l2rnZw==" saltValue="elJxfXPr5pngcCDpvKQeGA==" spinCount="100000" sheet="1" objects="1"/>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Blad7"/>
  <dimension ref="A1"/>
  <sheetViews>
    <sheetView workbookViewId="0">
      <selection activeCell="H26" sqref="H26"/>
    </sheetView>
  </sheetViews>
  <sheetFormatPr defaultRowHeight="15" x14ac:dyDescent="0.25"/>
  <sheetData/>
  <sheetProtection algorithmName="SHA-512" hashValue="uQrmtmoy5Q/naj92y5H9LQYHBBeQUdhIm8Jb64sNC3m3HToKzYTu6x/47qxp2u+KqYiBw4GhKkoLsKhXxPu45w==" saltValue="hCfluDmc9VtiH5s9PFesYg==" spinCount="100000" sheet="1" objects="1"/>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Blad8"/>
  <dimension ref="A1"/>
  <sheetViews>
    <sheetView workbookViewId="0">
      <selection activeCell="I27" sqref="I27"/>
    </sheetView>
  </sheetViews>
  <sheetFormatPr defaultRowHeight="15" x14ac:dyDescent="0.25"/>
  <sheetData/>
  <sheetProtection algorithmName="SHA-512" hashValue="p0uJezFJQdqeh2Y01rC+vnB8VT+oRC2Zoa63psmIb7soDNeBFu/djW0yQZjgGqjDjyka3023f+C6zEAtgOcp3Q==" saltValue="hvEoFx5CGbB5gWg2nYq3pQ==" spinCount="100000" sheet="1" objects="1"/>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Blad9"/>
  <dimension ref="A1"/>
  <sheetViews>
    <sheetView workbookViewId="0">
      <selection activeCell="H29" sqref="H29"/>
    </sheetView>
  </sheetViews>
  <sheetFormatPr defaultRowHeight="15" x14ac:dyDescent="0.25"/>
  <cols>
    <col min="1" max="8" width="9.140625" customWidth="1"/>
    <col min="9" max="9" width="13.7109375" customWidth="1"/>
  </cols>
  <sheetData/>
  <sheetProtection algorithmName="SHA-512" hashValue="NX+UDaqOv4MC0WwnQzXvZIbHFZ270XOUuyJnOwPWvUJzRpbJWqpxSFt0Gr9DNm4fFoMDTF88ZWYJoGLQINpO0Q==" saltValue="zjoLKxZcVMFoEjnqcyvcLA==" spinCount="100000" sheet="1" objects="1"/>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Blad10"/>
  <dimension ref="A1:V143"/>
  <sheetViews>
    <sheetView topLeftCell="B88" workbookViewId="0">
      <selection activeCell="B121" sqref="B121"/>
    </sheetView>
  </sheetViews>
  <sheetFormatPr defaultRowHeight="15" x14ac:dyDescent="0.25"/>
  <cols>
    <col min="1" max="1" width="15.28515625" bestFit="1" customWidth="1"/>
    <col min="2" max="2" width="53.28515625" bestFit="1" customWidth="1"/>
    <col min="3" max="3" width="34.5703125" customWidth="1"/>
    <col min="4" max="4" width="10.85546875" bestFit="1" customWidth="1"/>
    <col min="5" max="5" width="22.28515625" customWidth="1"/>
    <col min="6" max="7" width="9.28515625" bestFit="1" customWidth="1"/>
    <col min="8" max="8" width="8.5703125" customWidth="1"/>
    <col min="9" max="10" width="10.42578125" bestFit="1" customWidth="1"/>
    <col min="11" max="11" width="8.5703125" customWidth="1"/>
    <col min="12" max="13" width="10.28515625" customWidth="1"/>
    <col min="14" max="14" width="13.7109375" bestFit="1" customWidth="1"/>
    <col min="15" max="16" width="13.7109375" style="180" customWidth="1"/>
    <col min="17" max="17" width="11" customWidth="1"/>
    <col min="18" max="18" width="10.85546875" bestFit="1" customWidth="1"/>
    <col min="19" max="19" width="12" bestFit="1" customWidth="1"/>
  </cols>
  <sheetData>
    <row r="1" spans="1:22" ht="27.75" customHeight="1" thickTop="1" thickBot="1" x14ac:dyDescent="0.45">
      <c r="A1" s="39" t="s">
        <v>192</v>
      </c>
      <c r="B1" s="185" t="s">
        <v>1288</v>
      </c>
      <c r="O1"/>
      <c r="P1"/>
    </row>
    <row r="2" spans="1:22" s="162" customFormat="1" ht="65.25" customHeight="1" thickTop="1" thickBot="1" x14ac:dyDescent="0.25">
      <c r="A2" s="69" t="s">
        <v>91</v>
      </c>
      <c r="B2" s="70" t="s">
        <v>97</v>
      </c>
      <c r="C2" s="70" t="s">
        <v>1289</v>
      </c>
      <c r="D2" s="70" t="s">
        <v>1290</v>
      </c>
      <c r="E2" s="70" t="s">
        <v>1291</v>
      </c>
      <c r="F2" s="70" t="s">
        <v>217</v>
      </c>
      <c r="G2" s="70" t="s">
        <v>1292</v>
      </c>
      <c r="H2" s="71" t="s">
        <v>1293</v>
      </c>
      <c r="I2" s="71" t="s">
        <v>1294</v>
      </c>
      <c r="J2" s="71" t="s">
        <v>1295</v>
      </c>
      <c r="K2" s="71" t="s">
        <v>1296</v>
      </c>
      <c r="L2" s="71" t="s">
        <v>1297</v>
      </c>
      <c r="M2" s="71" t="s">
        <v>225</v>
      </c>
      <c r="N2" s="71" t="s">
        <v>231</v>
      </c>
      <c r="O2" s="275" t="s">
        <v>1298</v>
      </c>
      <c r="P2" s="276" t="s">
        <v>1299</v>
      </c>
      <c r="Q2" s="276" t="s">
        <v>1300</v>
      </c>
      <c r="R2" s="277" t="s">
        <v>1301</v>
      </c>
      <c r="S2" s="277" t="s">
        <v>1302</v>
      </c>
      <c r="T2" s="278" t="s">
        <v>1303</v>
      </c>
    </row>
    <row r="3" spans="1:22" x14ac:dyDescent="0.25">
      <c r="A3" s="279" t="s">
        <v>1304</v>
      </c>
      <c r="B3" s="280"/>
      <c r="C3" s="281" t="s">
        <v>1305</v>
      </c>
      <c r="D3" s="282"/>
      <c r="E3" s="283"/>
      <c r="F3" s="283"/>
      <c r="G3" s="283"/>
      <c r="H3" s="283"/>
      <c r="I3" s="284"/>
      <c r="J3" s="284"/>
      <c r="K3" s="72">
        <f t="shared" ref="K3:K12" si="0">IF(T3=TRUE,F3,0)</f>
        <v>0</v>
      </c>
      <c r="L3" s="73">
        <f t="shared" ref="L3:L12" si="1">IF(T3=TRUE,S3-R3,0)</f>
        <v>0</v>
      </c>
      <c r="M3" s="74">
        <f t="shared" ref="M3:M12" si="2">IF(T3=TRUE,G3/F3,0)</f>
        <v>0</v>
      </c>
      <c r="N3" s="75">
        <f t="shared" ref="N3:N12" si="3">IF(T3=TRUE,(G3*100000)/(F3*L3*C$23),0)</f>
        <v>0</v>
      </c>
      <c r="O3" s="285">
        <f t="shared" ref="O3:O12" si="4">IF(T3=TRUE,K3/K$13,0)</f>
        <v>0</v>
      </c>
      <c r="P3" s="286">
        <f t="shared" ref="P3:P12" si="5">M3*O3</f>
        <v>0</v>
      </c>
      <c r="Q3" s="286">
        <f t="shared" ref="Q3:Q12" si="6">N3*O3</f>
        <v>0</v>
      </c>
      <c r="R3" s="287">
        <f t="shared" ref="R3:R12" si="7">IF(J3&gt;1,J3,C$21+C$22)</f>
        <v>0</v>
      </c>
      <c r="S3" s="287">
        <f t="shared" ref="S3:S12" si="8">IF(I3&gt;1,I3,C$21+H3)</f>
        <v>0</v>
      </c>
      <c r="T3" s="288" t="b">
        <v>0</v>
      </c>
    </row>
    <row r="4" spans="1:22" x14ac:dyDescent="0.25">
      <c r="A4" s="289" t="s">
        <v>1306</v>
      </c>
      <c r="B4" s="290"/>
      <c r="C4" s="291" t="s">
        <v>1307</v>
      </c>
      <c r="D4" s="292"/>
      <c r="E4" s="293"/>
      <c r="F4" s="293"/>
      <c r="G4" s="293"/>
      <c r="H4" s="293"/>
      <c r="I4" s="293"/>
      <c r="J4" s="293"/>
      <c r="K4" s="73">
        <f t="shared" si="0"/>
        <v>0</v>
      </c>
      <c r="L4" s="73">
        <f t="shared" si="1"/>
        <v>0</v>
      </c>
      <c r="M4" s="74">
        <f t="shared" si="2"/>
        <v>0</v>
      </c>
      <c r="N4" s="75">
        <f t="shared" si="3"/>
        <v>0</v>
      </c>
      <c r="O4" s="294">
        <f t="shared" si="4"/>
        <v>0</v>
      </c>
      <c r="P4" s="286">
        <f t="shared" si="5"/>
        <v>0</v>
      </c>
      <c r="Q4" s="295">
        <f t="shared" si="6"/>
        <v>0</v>
      </c>
      <c r="R4" s="287">
        <f t="shared" si="7"/>
        <v>0</v>
      </c>
      <c r="S4" s="287">
        <f t="shared" si="8"/>
        <v>0</v>
      </c>
      <c r="T4" s="296" t="b">
        <v>0</v>
      </c>
    </row>
    <row r="5" spans="1:22" x14ac:dyDescent="0.25">
      <c r="A5" s="289" t="s">
        <v>1308</v>
      </c>
      <c r="B5" s="290"/>
      <c r="C5" s="291" t="s">
        <v>1309</v>
      </c>
      <c r="D5" s="292"/>
      <c r="E5" s="293"/>
      <c r="F5" s="293"/>
      <c r="G5" s="293"/>
      <c r="H5" s="293"/>
      <c r="I5" s="293"/>
      <c r="J5" s="293"/>
      <c r="K5" s="73">
        <f t="shared" si="0"/>
        <v>0</v>
      </c>
      <c r="L5" s="73">
        <f t="shared" si="1"/>
        <v>0</v>
      </c>
      <c r="M5" s="74">
        <f t="shared" si="2"/>
        <v>0</v>
      </c>
      <c r="N5" s="75">
        <f t="shared" si="3"/>
        <v>0</v>
      </c>
      <c r="O5" s="294">
        <f t="shared" si="4"/>
        <v>0</v>
      </c>
      <c r="P5" s="286">
        <f t="shared" si="5"/>
        <v>0</v>
      </c>
      <c r="Q5" s="295">
        <f t="shared" si="6"/>
        <v>0</v>
      </c>
      <c r="R5" s="287">
        <f t="shared" si="7"/>
        <v>0</v>
      </c>
      <c r="S5" s="287">
        <f t="shared" si="8"/>
        <v>0</v>
      </c>
      <c r="T5" s="296" t="b">
        <v>0</v>
      </c>
    </row>
    <row r="6" spans="1:22" x14ac:dyDescent="0.25">
      <c r="A6" s="289" t="s">
        <v>1310</v>
      </c>
      <c r="B6" s="290"/>
      <c r="C6" s="291" t="s">
        <v>1311</v>
      </c>
      <c r="D6" s="292"/>
      <c r="E6" s="293"/>
      <c r="F6" s="293"/>
      <c r="G6" s="293"/>
      <c r="H6" s="293"/>
      <c r="I6" s="293"/>
      <c r="J6" s="293"/>
      <c r="K6" s="73">
        <f t="shared" si="0"/>
        <v>0</v>
      </c>
      <c r="L6" s="73">
        <f t="shared" si="1"/>
        <v>0</v>
      </c>
      <c r="M6" s="74">
        <f t="shared" si="2"/>
        <v>0</v>
      </c>
      <c r="N6" s="75">
        <f t="shared" si="3"/>
        <v>0</v>
      </c>
      <c r="O6" s="294">
        <f t="shared" si="4"/>
        <v>0</v>
      </c>
      <c r="P6" s="286">
        <f t="shared" si="5"/>
        <v>0</v>
      </c>
      <c r="Q6" s="295">
        <f t="shared" si="6"/>
        <v>0</v>
      </c>
      <c r="R6" s="287">
        <f t="shared" si="7"/>
        <v>0</v>
      </c>
      <c r="S6" s="287">
        <f t="shared" si="8"/>
        <v>0</v>
      </c>
      <c r="T6" s="296" t="b">
        <v>0</v>
      </c>
    </row>
    <row r="7" spans="1:22" x14ac:dyDescent="0.25">
      <c r="A7" s="289" t="s">
        <v>1312</v>
      </c>
      <c r="B7" s="290"/>
      <c r="C7" s="291" t="s">
        <v>1313</v>
      </c>
      <c r="D7" s="292"/>
      <c r="E7" s="293"/>
      <c r="F7" s="293"/>
      <c r="G7" s="293"/>
      <c r="H7" s="293"/>
      <c r="I7" s="293"/>
      <c r="J7" s="293"/>
      <c r="K7" s="73">
        <f t="shared" si="0"/>
        <v>0</v>
      </c>
      <c r="L7" s="73">
        <f t="shared" si="1"/>
        <v>0</v>
      </c>
      <c r="M7" s="74">
        <f t="shared" si="2"/>
        <v>0</v>
      </c>
      <c r="N7" s="75">
        <f t="shared" si="3"/>
        <v>0</v>
      </c>
      <c r="O7" s="294">
        <f t="shared" si="4"/>
        <v>0</v>
      </c>
      <c r="P7" s="286">
        <f t="shared" si="5"/>
        <v>0</v>
      </c>
      <c r="Q7" s="295">
        <f t="shared" si="6"/>
        <v>0</v>
      </c>
      <c r="R7" s="287">
        <f t="shared" si="7"/>
        <v>0</v>
      </c>
      <c r="S7" s="287">
        <f t="shared" si="8"/>
        <v>0</v>
      </c>
      <c r="T7" s="296" t="b">
        <v>0</v>
      </c>
    </row>
    <row r="8" spans="1:22" x14ac:dyDescent="0.25">
      <c r="A8" s="289" t="s">
        <v>1314</v>
      </c>
      <c r="B8" s="290"/>
      <c r="C8" s="291" t="s">
        <v>1315</v>
      </c>
      <c r="D8" s="292"/>
      <c r="E8" s="293"/>
      <c r="F8" s="293"/>
      <c r="G8" s="293"/>
      <c r="H8" s="293"/>
      <c r="I8" s="293"/>
      <c r="J8" s="293"/>
      <c r="K8" s="73">
        <f t="shared" si="0"/>
        <v>0</v>
      </c>
      <c r="L8" s="73">
        <f t="shared" si="1"/>
        <v>0</v>
      </c>
      <c r="M8" s="74">
        <f t="shared" si="2"/>
        <v>0</v>
      </c>
      <c r="N8" s="75">
        <f t="shared" si="3"/>
        <v>0</v>
      </c>
      <c r="O8" s="294">
        <f t="shared" si="4"/>
        <v>0</v>
      </c>
      <c r="P8" s="286">
        <f t="shared" si="5"/>
        <v>0</v>
      </c>
      <c r="Q8" s="295">
        <f t="shared" si="6"/>
        <v>0</v>
      </c>
      <c r="R8" s="287">
        <f t="shared" si="7"/>
        <v>0</v>
      </c>
      <c r="S8" s="287">
        <f t="shared" si="8"/>
        <v>0</v>
      </c>
      <c r="T8" s="296" t="b">
        <v>0</v>
      </c>
    </row>
    <row r="9" spans="1:22" x14ac:dyDescent="0.25">
      <c r="A9" s="289" t="s">
        <v>1316</v>
      </c>
      <c r="B9" s="290"/>
      <c r="C9" s="291" t="s">
        <v>1317</v>
      </c>
      <c r="D9" s="292"/>
      <c r="E9" s="293"/>
      <c r="F9" s="293"/>
      <c r="G9" s="293"/>
      <c r="H9" s="293"/>
      <c r="I9" s="293"/>
      <c r="J9" s="293"/>
      <c r="K9" s="73">
        <f t="shared" si="0"/>
        <v>0</v>
      </c>
      <c r="L9" s="73">
        <f t="shared" si="1"/>
        <v>0</v>
      </c>
      <c r="M9" s="74">
        <f t="shared" si="2"/>
        <v>0</v>
      </c>
      <c r="N9" s="75">
        <f t="shared" si="3"/>
        <v>0</v>
      </c>
      <c r="O9" s="294">
        <f t="shared" si="4"/>
        <v>0</v>
      </c>
      <c r="P9" s="286">
        <f t="shared" si="5"/>
        <v>0</v>
      </c>
      <c r="Q9" s="295">
        <f t="shared" si="6"/>
        <v>0</v>
      </c>
      <c r="R9" s="287">
        <f t="shared" si="7"/>
        <v>0</v>
      </c>
      <c r="S9" s="287">
        <f t="shared" si="8"/>
        <v>0</v>
      </c>
      <c r="T9" s="296" t="b">
        <v>0</v>
      </c>
    </row>
    <row r="10" spans="1:22" x14ac:dyDescent="0.25">
      <c r="A10" s="289" t="s">
        <v>1318</v>
      </c>
      <c r="B10" s="290"/>
      <c r="C10" s="291" t="s">
        <v>1319</v>
      </c>
      <c r="D10" s="292"/>
      <c r="E10" s="293"/>
      <c r="F10" s="293"/>
      <c r="G10" s="293"/>
      <c r="H10" s="293"/>
      <c r="I10" s="293"/>
      <c r="J10" s="293"/>
      <c r="K10" s="73">
        <f t="shared" si="0"/>
        <v>0</v>
      </c>
      <c r="L10" s="73">
        <f t="shared" si="1"/>
        <v>0</v>
      </c>
      <c r="M10" s="74">
        <f t="shared" si="2"/>
        <v>0</v>
      </c>
      <c r="N10" s="75">
        <f t="shared" si="3"/>
        <v>0</v>
      </c>
      <c r="O10" s="294">
        <f t="shared" si="4"/>
        <v>0</v>
      </c>
      <c r="P10" s="286">
        <f t="shared" si="5"/>
        <v>0</v>
      </c>
      <c r="Q10" s="295">
        <f t="shared" si="6"/>
        <v>0</v>
      </c>
      <c r="R10" s="287">
        <f t="shared" si="7"/>
        <v>0</v>
      </c>
      <c r="S10" s="287">
        <f t="shared" si="8"/>
        <v>0</v>
      </c>
      <c r="T10" s="296" t="b">
        <v>0</v>
      </c>
    </row>
    <row r="11" spans="1:22" x14ac:dyDescent="0.25">
      <c r="A11" s="289" t="s">
        <v>1320</v>
      </c>
      <c r="B11" s="290"/>
      <c r="C11" s="291" t="s">
        <v>1321</v>
      </c>
      <c r="D11" s="292"/>
      <c r="E11" s="293"/>
      <c r="F11" s="293"/>
      <c r="G11" s="293"/>
      <c r="H11" s="293"/>
      <c r="I11" s="293"/>
      <c r="J11" s="293"/>
      <c r="K11" s="73">
        <f t="shared" si="0"/>
        <v>0</v>
      </c>
      <c r="L11" s="73">
        <f t="shared" si="1"/>
        <v>0</v>
      </c>
      <c r="M11" s="74">
        <f t="shared" si="2"/>
        <v>0</v>
      </c>
      <c r="N11" s="75">
        <f t="shared" si="3"/>
        <v>0</v>
      </c>
      <c r="O11" s="294">
        <f t="shared" si="4"/>
        <v>0</v>
      </c>
      <c r="P11" s="286">
        <f t="shared" si="5"/>
        <v>0</v>
      </c>
      <c r="Q11" s="295">
        <f t="shared" si="6"/>
        <v>0</v>
      </c>
      <c r="R11" s="287">
        <f t="shared" si="7"/>
        <v>0</v>
      </c>
      <c r="S11" s="287">
        <f t="shared" si="8"/>
        <v>0</v>
      </c>
      <c r="T11" s="296" t="b">
        <v>0</v>
      </c>
    </row>
    <row r="12" spans="1:22" ht="15.75" customHeight="1" thickBot="1" x14ac:dyDescent="0.3">
      <c r="A12" s="297" t="s">
        <v>1322</v>
      </c>
      <c r="B12" s="298"/>
      <c r="C12" s="299" t="s">
        <v>1323</v>
      </c>
      <c r="D12" s="300"/>
      <c r="E12" s="301"/>
      <c r="F12" s="301"/>
      <c r="G12" s="301"/>
      <c r="H12" s="301"/>
      <c r="I12" s="301"/>
      <c r="J12" s="301"/>
      <c r="K12" s="76">
        <f t="shared" si="0"/>
        <v>0</v>
      </c>
      <c r="L12" s="73">
        <f t="shared" si="1"/>
        <v>0</v>
      </c>
      <c r="M12" s="74">
        <f t="shared" si="2"/>
        <v>0</v>
      </c>
      <c r="N12" s="77">
        <f t="shared" si="3"/>
        <v>0</v>
      </c>
      <c r="O12" s="302">
        <f t="shared" si="4"/>
        <v>0</v>
      </c>
      <c r="P12" s="286">
        <f t="shared" si="5"/>
        <v>0</v>
      </c>
      <c r="Q12" s="303">
        <f t="shared" si="6"/>
        <v>0</v>
      </c>
      <c r="R12" s="287">
        <f t="shared" si="7"/>
        <v>0</v>
      </c>
      <c r="S12" s="287">
        <f t="shared" si="8"/>
        <v>0</v>
      </c>
      <c r="T12" s="304" t="b">
        <v>0</v>
      </c>
    </row>
    <row r="13" spans="1:22" s="149" customFormat="1" ht="15.75" customHeight="1" thickBot="1" x14ac:dyDescent="0.3">
      <c r="A13" s="36" t="s">
        <v>1324</v>
      </c>
      <c r="B13" s="78"/>
      <c r="C13" s="37" t="s">
        <v>153</v>
      </c>
      <c r="D13" s="37"/>
      <c r="E13" s="37"/>
      <c r="F13" s="37">
        <f>SUBTOTAL(9,F3:F12)</f>
        <v>0</v>
      </c>
      <c r="G13" s="37">
        <f>SUBTOTAL(9,G3:G12)</f>
        <v>0</v>
      </c>
      <c r="H13" s="37"/>
      <c r="I13" s="37"/>
      <c r="J13" s="37"/>
      <c r="K13" s="37">
        <f>SUBTOTAL(9,K3:K12)</f>
        <v>0</v>
      </c>
      <c r="L13" s="37">
        <f>SUBTOTAL(9,L3:L12)</f>
        <v>0</v>
      </c>
      <c r="M13" s="79">
        <f>P13</f>
        <v>0</v>
      </c>
      <c r="N13" s="79">
        <f>Q13</f>
        <v>0</v>
      </c>
      <c r="O13" s="305">
        <f>SUBTOTAL(9,O3:O12)</f>
        <v>0</v>
      </c>
      <c r="P13" s="306">
        <f>SUBTOTAL(9,P3:P12)</f>
        <v>0</v>
      </c>
      <c r="Q13" s="306">
        <f>SUBTOTAL(9,Q3:Q12)</f>
        <v>0</v>
      </c>
      <c r="R13" s="307"/>
      <c r="S13" s="307"/>
      <c r="T13" s="308"/>
    </row>
    <row r="14" spans="1:22" ht="15.75" customHeight="1" thickTop="1" x14ac:dyDescent="0.25">
      <c r="A14" t="s">
        <v>1325</v>
      </c>
      <c r="O14"/>
      <c r="P14"/>
      <c r="U14" s="180"/>
      <c r="V14" s="180"/>
    </row>
    <row r="15" spans="1:22" x14ac:dyDescent="0.25">
      <c r="O15"/>
      <c r="P15"/>
      <c r="U15" s="180"/>
      <c r="V15" s="180"/>
    </row>
    <row r="16" spans="1:22" x14ac:dyDescent="0.25">
      <c r="B16" s="292" t="s">
        <v>1326</v>
      </c>
      <c r="O16"/>
      <c r="P16"/>
      <c r="U16" s="180"/>
      <c r="V16" s="180"/>
    </row>
    <row r="17" spans="1:20" x14ac:dyDescent="0.25">
      <c r="B17" s="294" t="s">
        <v>1327</v>
      </c>
      <c r="O17"/>
      <c r="P17"/>
      <c r="S17" s="180"/>
      <c r="T17" s="180"/>
    </row>
    <row r="18" spans="1:20" x14ac:dyDescent="0.25">
      <c r="B18" s="73" t="s">
        <v>1328</v>
      </c>
      <c r="N18" s="156"/>
      <c r="O18"/>
      <c r="P18"/>
      <c r="S18" s="180"/>
      <c r="T18" s="180"/>
    </row>
    <row r="19" spans="1:20" x14ac:dyDescent="0.25">
      <c r="N19" s="156"/>
      <c r="O19"/>
      <c r="P19"/>
      <c r="S19" s="180"/>
      <c r="T19" s="180"/>
    </row>
    <row r="20" spans="1:20" ht="15.75" customHeight="1" thickBot="1" x14ac:dyDescent="0.3">
      <c r="B20" s="38" t="s">
        <v>1329</v>
      </c>
      <c r="C20" s="38"/>
      <c r="O20"/>
      <c r="P20"/>
      <c r="S20" s="180"/>
      <c r="T20" s="180"/>
    </row>
    <row r="21" spans="1:20" x14ac:dyDescent="0.25">
      <c r="B21" t="s">
        <v>1330</v>
      </c>
      <c r="C21" s="309"/>
      <c r="O21"/>
      <c r="P21"/>
      <c r="S21" s="180"/>
      <c r="T21" s="180"/>
    </row>
    <row r="22" spans="1:20" x14ac:dyDescent="0.25">
      <c r="B22" t="s">
        <v>1331</v>
      </c>
      <c r="C22" s="310"/>
      <c r="O22"/>
      <c r="P22"/>
      <c r="S22" s="180"/>
      <c r="T22" s="180"/>
    </row>
    <row r="23" spans="1:20" x14ac:dyDescent="0.25">
      <c r="B23" t="s">
        <v>1332</v>
      </c>
      <c r="C23" s="311"/>
    </row>
    <row r="24" spans="1:20" ht="15.75" customHeight="1" thickBot="1" x14ac:dyDescent="0.3">
      <c r="O24"/>
      <c r="P24"/>
    </row>
    <row r="25" spans="1:20" ht="27.75" customHeight="1" thickTop="1" thickBot="1" x14ac:dyDescent="0.45">
      <c r="A25" s="39" t="s">
        <v>192</v>
      </c>
      <c r="B25" s="185" t="s">
        <v>1288</v>
      </c>
      <c r="O25"/>
      <c r="P25"/>
    </row>
    <row r="26" spans="1:20" s="162" customFormat="1" ht="65.25" customHeight="1" thickTop="1" thickBot="1" x14ac:dyDescent="0.25">
      <c r="A26" s="69" t="s">
        <v>91</v>
      </c>
      <c r="B26" s="70" t="s">
        <v>97</v>
      </c>
      <c r="C26" s="70" t="s">
        <v>1289</v>
      </c>
      <c r="D26" s="70" t="s">
        <v>1290</v>
      </c>
      <c r="E26" s="70" t="s">
        <v>1291</v>
      </c>
      <c r="F26" s="70" t="s">
        <v>217</v>
      </c>
      <c r="G26" s="70" t="s">
        <v>1292</v>
      </c>
      <c r="H26" s="71" t="s">
        <v>1297</v>
      </c>
      <c r="I26" s="71"/>
      <c r="J26" s="71" t="s">
        <v>1333</v>
      </c>
      <c r="K26" s="71" t="s">
        <v>1296</v>
      </c>
      <c r="L26" s="71" t="s">
        <v>1297</v>
      </c>
      <c r="M26" s="71" t="s">
        <v>225</v>
      </c>
      <c r="N26" s="71" t="s">
        <v>231</v>
      </c>
      <c r="O26" s="275" t="s">
        <v>1298</v>
      </c>
      <c r="P26" s="276" t="s">
        <v>1299</v>
      </c>
      <c r="Q26" s="276" t="s">
        <v>1300</v>
      </c>
      <c r="R26" s="277" t="s">
        <v>1301</v>
      </c>
      <c r="S26" s="277" t="s">
        <v>1302</v>
      </c>
      <c r="T26" s="278" t="s">
        <v>1303</v>
      </c>
    </row>
    <row r="27" spans="1:20" x14ac:dyDescent="0.25">
      <c r="A27" s="279" t="s">
        <v>1304</v>
      </c>
      <c r="B27" s="280"/>
      <c r="C27" s="281" t="s">
        <v>1305</v>
      </c>
      <c r="D27" s="282"/>
      <c r="E27" s="283"/>
      <c r="F27" s="283"/>
      <c r="G27" s="283"/>
      <c r="H27" s="283"/>
      <c r="I27" s="283"/>
      <c r="J27" s="284"/>
      <c r="K27" s="72">
        <f t="shared" ref="K27:K36" si="9">IF(T27=TRUE,F27,0)</f>
        <v>0</v>
      </c>
      <c r="L27" s="73">
        <f t="shared" ref="L27:L36" si="10">IF(T27=TRUE,S27-R27,0)</f>
        <v>0</v>
      </c>
      <c r="M27" s="74">
        <f t="shared" ref="M27:M36" si="11">IF(T27=TRUE,G27/F27,0)</f>
        <v>0</v>
      </c>
      <c r="N27" s="74">
        <f t="shared" ref="N27:N36" si="12">IF(T27=TRUE,(G27*100000)/(F27*L27*C$47),0)</f>
        <v>0</v>
      </c>
      <c r="O27" s="285">
        <f t="shared" ref="O27:O36" si="13">IF(T27=TRUE,K27/K$37,0)</f>
        <v>0</v>
      </c>
      <c r="P27" s="286">
        <f t="shared" ref="P27:P36" si="14">M27*O27</f>
        <v>0</v>
      </c>
      <c r="Q27" s="286">
        <f t="shared" ref="Q27:Q36" si="15">N27*O27</f>
        <v>0</v>
      </c>
      <c r="R27" s="287">
        <f t="shared" ref="R27:R36" si="16">IF(J27&gt;1,J27,C$45+C$46)</f>
        <v>0</v>
      </c>
      <c r="S27" s="287">
        <f t="shared" ref="S27:S36" si="17">IF(I27&gt;1,I27,C$45+H27)</f>
        <v>0</v>
      </c>
      <c r="T27" s="288" t="b">
        <v>0</v>
      </c>
    </row>
    <row r="28" spans="1:20" x14ac:dyDescent="0.25">
      <c r="A28" s="289" t="s">
        <v>1306</v>
      </c>
      <c r="B28" s="290"/>
      <c r="C28" s="291" t="s">
        <v>1307</v>
      </c>
      <c r="D28" s="292"/>
      <c r="E28" s="293"/>
      <c r="F28" s="293"/>
      <c r="G28" s="293"/>
      <c r="H28" s="293"/>
      <c r="I28" s="293"/>
      <c r="J28" s="293"/>
      <c r="K28" s="73">
        <f t="shared" si="9"/>
        <v>0</v>
      </c>
      <c r="L28" s="73">
        <f t="shared" si="10"/>
        <v>0</v>
      </c>
      <c r="M28" s="74">
        <f t="shared" si="11"/>
        <v>0</v>
      </c>
      <c r="N28" s="74">
        <f t="shared" si="12"/>
        <v>0</v>
      </c>
      <c r="O28" s="285">
        <f t="shared" si="13"/>
        <v>0</v>
      </c>
      <c r="P28" s="286">
        <f t="shared" si="14"/>
        <v>0</v>
      </c>
      <c r="Q28" s="295">
        <f t="shared" si="15"/>
        <v>0</v>
      </c>
      <c r="R28" s="287">
        <f t="shared" si="16"/>
        <v>0</v>
      </c>
      <c r="S28" s="287">
        <f t="shared" si="17"/>
        <v>0</v>
      </c>
      <c r="T28" s="296" t="b">
        <v>0</v>
      </c>
    </row>
    <row r="29" spans="1:20" x14ac:dyDescent="0.25">
      <c r="A29" s="289" t="s">
        <v>1308</v>
      </c>
      <c r="B29" s="290"/>
      <c r="C29" s="291" t="s">
        <v>1309</v>
      </c>
      <c r="D29" s="292"/>
      <c r="E29" s="293"/>
      <c r="F29" s="293"/>
      <c r="G29" s="293"/>
      <c r="H29" s="293"/>
      <c r="I29" s="293"/>
      <c r="J29" s="293"/>
      <c r="K29" s="73">
        <f t="shared" si="9"/>
        <v>0</v>
      </c>
      <c r="L29" s="73">
        <f t="shared" si="10"/>
        <v>0</v>
      </c>
      <c r="M29" s="74">
        <f t="shared" si="11"/>
        <v>0</v>
      </c>
      <c r="N29" s="74">
        <f t="shared" si="12"/>
        <v>0</v>
      </c>
      <c r="O29" s="285">
        <f t="shared" si="13"/>
        <v>0</v>
      </c>
      <c r="P29" s="286">
        <f t="shared" si="14"/>
        <v>0</v>
      </c>
      <c r="Q29" s="295">
        <f t="shared" si="15"/>
        <v>0</v>
      </c>
      <c r="R29" s="287">
        <f t="shared" si="16"/>
        <v>0</v>
      </c>
      <c r="S29" s="287">
        <f t="shared" si="17"/>
        <v>0</v>
      </c>
      <c r="T29" s="296" t="b">
        <v>0</v>
      </c>
    </row>
    <row r="30" spans="1:20" x14ac:dyDescent="0.25">
      <c r="A30" s="289" t="s">
        <v>1310</v>
      </c>
      <c r="B30" s="290"/>
      <c r="C30" s="291" t="s">
        <v>1311</v>
      </c>
      <c r="D30" s="292"/>
      <c r="E30" s="293"/>
      <c r="F30" s="293"/>
      <c r="G30" s="293"/>
      <c r="H30" s="293"/>
      <c r="I30" s="293"/>
      <c r="J30" s="293"/>
      <c r="K30" s="73">
        <f t="shared" si="9"/>
        <v>0</v>
      </c>
      <c r="L30" s="73">
        <f t="shared" si="10"/>
        <v>0</v>
      </c>
      <c r="M30" s="74">
        <f t="shared" si="11"/>
        <v>0</v>
      </c>
      <c r="N30" s="74">
        <f t="shared" si="12"/>
        <v>0</v>
      </c>
      <c r="O30" s="285">
        <f t="shared" si="13"/>
        <v>0</v>
      </c>
      <c r="P30" s="286">
        <f t="shared" si="14"/>
        <v>0</v>
      </c>
      <c r="Q30" s="295">
        <f t="shared" si="15"/>
        <v>0</v>
      </c>
      <c r="R30" s="287">
        <f t="shared" si="16"/>
        <v>0</v>
      </c>
      <c r="S30" s="287">
        <f t="shared" si="17"/>
        <v>0</v>
      </c>
      <c r="T30" s="296" t="b">
        <v>0</v>
      </c>
    </row>
    <row r="31" spans="1:20" x14ac:dyDescent="0.25">
      <c r="A31" s="289" t="s">
        <v>1312</v>
      </c>
      <c r="B31" s="290"/>
      <c r="C31" s="291" t="s">
        <v>1313</v>
      </c>
      <c r="D31" s="292"/>
      <c r="E31" s="293"/>
      <c r="F31" s="293"/>
      <c r="G31" s="293"/>
      <c r="H31" s="293"/>
      <c r="I31" s="293"/>
      <c r="J31" s="293"/>
      <c r="K31" s="73">
        <f t="shared" si="9"/>
        <v>0</v>
      </c>
      <c r="L31" s="73">
        <f t="shared" si="10"/>
        <v>0</v>
      </c>
      <c r="M31" s="74">
        <f t="shared" si="11"/>
        <v>0</v>
      </c>
      <c r="N31" s="74">
        <f t="shared" si="12"/>
        <v>0</v>
      </c>
      <c r="O31" s="285">
        <f t="shared" si="13"/>
        <v>0</v>
      </c>
      <c r="P31" s="286">
        <f t="shared" si="14"/>
        <v>0</v>
      </c>
      <c r="Q31" s="295">
        <f t="shared" si="15"/>
        <v>0</v>
      </c>
      <c r="R31" s="287">
        <f t="shared" si="16"/>
        <v>0</v>
      </c>
      <c r="S31" s="287">
        <f t="shared" si="17"/>
        <v>0</v>
      </c>
      <c r="T31" s="296" t="b">
        <v>0</v>
      </c>
    </row>
    <row r="32" spans="1:20" x14ac:dyDescent="0.25">
      <c r="A32" s="289" t="s">
        <v>1314</v>
      </c>
      <c r="B32" s="290"/>
      <c r="C32" s="291" t="s">
        <v>1315</v>
      </c>
      <c r="D32" s="292"/>
      <c r="E32" s="293"/>
      <c r="F32" s="293"/>
      <c r="G32" s="293"/>
      <c r="H32" s="293"/>
      <c r="I32" s="293"/>
      <c r="J32" s="293"/>
      <c r="K32" s="73">
        <f t="shared" si="9"/>
        <v>0</v>
      </c>
      <c r="L32" s="73">
        <f t="shared" si="10"/>
        <v>0</v>
      </c>
      <c r="M32" s="74">
        <f t="shared" si="11"/>
        <v>0</v>
      </c>
      <c r="N32" s="74">
        <f t="shared" si="12"/>
        <v>0</v>
      </c>
      <c r="O32" s="285">
        <f t="shared" si="13"/>
        <v>0</v>
      </c>
      <c r="P32" s="286">
        <f t="shared" si="14"/>
        <v>0</v>
      </c>
      <c r="Q32" s="295">
        <f t="shared" si="15"/>
        <v>0</v>
      </c>
      <c r="R32" s="287">
        <f t="shared" si="16"/>
        <v>0</v>
      </c>
      <c r="S32" s="287">
        <f t="shared" si="17"/>
        <v>0</v>
      </c>
      <c r="T32" s="296" t="b">
        <v>0</v>
      </c>
    </row>
    <row r="33" spans="1:22" x14ac:dyDescent="0.25">
      <c r="A33" s="289" t="s">
        <v>1316</v>
      </c>
      <c r="B33" s="290"/>
      <c r="C33" s="291" t="s">
        <v>1317</v>
      </c>
      <c r="D33" s="292"/>
      <c r="E33" s="293"/>
      <c r="F33" s="293"/>
      <c r="G33" s="293"/>
      <c r="H33" s="293"/>
      <c r="I33" s="293"/>
      <c r="J33" s="293"/>
      <c r="K33" s="73">
        <f t="shared" si="9"/>
        <v>0</v>
      </c>
      <c r="L33" s="73">
        <f t="shared" si="10"/>
        <v>0</v>
      </c>
      <c r="M33" s="74">
        <f t="shared" si="11"/>
        <v>0</v>
      </c>
      <c r="N33" s="74">
        <f t="shared" si="12"/>
        <v>0</v>
      </c>
      <c r="O33" s="285">
        <f t="shared" si="13"/>
        <v>0</v>
      </c>
      <c r="P33" s="286">
        <f t="shared" si="14"/>
        <v>0</v>
      </c>
      <c r="Q33" s="295">
        <f t="shared" si="15"/>
        <v>0</v>
      </c>
      <c r="R33" s="287">
        <f t="shared" si="16"/>
        <v>0</v>
      </c>
      <c r="S33" s="287">
        <f t="shared" si="17"/>
        <v>0</v>
      </c>
      <c r="T33" s="296" t="b">
        <v>0</v>
      </c>
    </row>
    <row r="34" spans="1:22" x14ac:dyDescent="0.25">
      <c r="A34" s="289" t="s">
        <v>1318</v>
      </c>
      <c r="B34" s="290"/>
      <c r="C34" s="291" t="s">
        <v>1319</v>
      </c>
      <c r="D34" s="292"/>
      <c r="E34" s="293"/>
      <c r="F34" s="293"/>
      <c r="G34" s="293"/>
      <c r="H34" s="293"/>
      <c r="I34" s="293"/>
      <c r="J34" s="293"/>
      <c r="K34" s="73">
        <f t="shared" si="9"/>
        <v>0</v>
      </c>
      <c r="L34" s="73">
        <f t="shared" si="10"/>
        <v>0</v>
      </c>
      <c r="M34" s="74">
        <f t="shared" si="11"/>
        <v>0</v>
      </c>
      <c r="N34" s="74">
        <f t="shared" si="12"/>
        <v>0</v>
      </c>
      <c r="O34" s="285">
        <f t="shared" si="13"/>
        <v>0</v>
      </c>
      <c r="P34" s="286">
        <f t="shared" si="14"/>
        <v>0</v>
      </c>
      <c r="Q34" s="295">
        <f t="shared" si="15"/>
        <v>0</v>
      </c>
      <c r="R34" s="287">
        <f t="shared" si="16"/>
        <v>0</v>
      </c>
      <c r="S34" s="287">
        <f t="shared" si="17"/>
        <v>0</v>
      </c>
      <c r="T34" s="296" t="b">
        <v>0</v>
      </c>
    </row>
    <row r="35" spans="1:22" x14ac:dyDescent="0.25">
      <c r="A35" s="289" t="s">
        <v>1320</v>
      </c>
      <c r="B35" s="290"/>
      <c r="C35" s="291" t="s">
        <v>1321</v>
      </c>
      <c r="D35" s="292"/>
      <c r="E35" s="293"/>
      <c r="F35" s="293"/>
      <c r="G35" s="293"/>
      <c r="H35" s="293"/>
      <c r="I35" s="293"/>
      <c r="J35" s="293"/>
      <c r="K35" s="73">
        <f t="shared" si="9"/>
        <v>0</v>
      </c>
      <c r="L35" s="73">
        <f t="shared" si="10"/>
        <v>0</v>
      </c>
      <c r="M35" s="74">
        <f t="shared" si="11"/>
        <v>0</v>
      </c>
      <c r="N35" s="74">
        <f t="shared" si="12"/>
        <v>0</v>
      </c>
      <c r="O35" s="285">
        <f t="shared" si="13"/>
        <v>0</v>
      </c>
      <c r="P35" s="286">
        <f t="shared" si="14"/>
        <v>0</v>
      </c>
      <c r="Q35" s="295">
        <f t="shared" si="15"/>
        <v>0</v>
      </c>
      <c r="R35" s="287">
        <f t="shared" si="16"/>
        <v>0</v>
      </c>
      <c r="S35" s="287">
        <f t="shared" si="17"/>
        <v>0</v>
      </c>
      <c r="T35" s="296" t="b">
        <v>0</v>
      </c>
    </row>
    <row r="36" spans="1:22" ht="15.75" customHeight="1" thickBot="1" x14ac:dyDescent="0.3">
      <c r="A36" s="297" t="s">
        <v>1322</v>
      </c>
      <c r="B36" s="298"/>
      <c r="C36" s="299" t="s">
        <v>1323</v>
      </c>
      <c r="D36" s="300"/>
      <c r="E36" s="301"/>
      <c r="F36" s="301"/>
      <c r="G36" s="301"/>
      <c r="H36" s="301"/>
      <c r="I36" s="301"/>
      <c r="J36" s="301"/>
      <c r="K36" s="76">
        <f t="shared" si="9"/>
        <v>0</v>
      </c>
      <c r="L36" s="73">
        <f t="shared" si="10"/>
        <v>0</v>
      </c>
      <c r="M36" s="74">
        <f t="shared" si="11"/>
        <v>0</v>
      </c>
      <c r="N36" s="74">
        <f t="shared" si="12"/>
        <v>0</v>
      </c>
      <c r="O36" s="285">
        <f t="shared" si="13"/>
        <v>0</v>
      </c>
      <c r="P36" s="286">
        <f t="shared" si="14"/>
        <v>0</v>
      </c>
      <c r="Q36" s="303">
        <f t="shared" si="15"/>
        <v>0</v>
      </c>
      <c r="R36" s="287">
        <f t="shared" si="16"/>
        <v>0</v>
      </c>
      <c r="S36" s="287">
        <f t="shared" si="17"/>
        <v>0</v>
      </c>
      <c r="T36" s="304" t="b">
        <v>0</v>
      </c>
    </row>
    <row r="37" spans="1:22" s="149" customFormat="1" ht="15.75" customHeight="1" thickBot="1" x14ac:dyDescent="0.3">
      <c r="A37" s="36" t="s">
        <v>1324</v>
      </c>
      <c r="B37" s="78"/>
      <c r="C37" s="37" t="s">
        <v>153</v>
      </c>
      <c r="D37" s="37"/>
      <c r="E37" s="37"/>
      <c r="F37" s="37">
        <f>SUBTOTAL(9,F27:F36)</f>
        <v>0</v>
      </c>
      <c r="G37" s="37">
        <f>SUBTOTAL(9,G27:G36)</f>
        <v>0</v>
      </c>
      <c r="H37" s="37"/>
      <c r="I37" s="37"/>
      <c r="J37" s="37"/>
      <c r="K37" s="37">
        <f>SUBTOTAL(9,K27:K36)</f>
        <v>0</v>
      </c>
      <c r="L37" s="37">
        <f>SUBTOTAL(9,L27:L36)</f>
        <v>0</v>
      </c>
      <c r="M37" s="79">
        <f>P37</f>
        <v>0</v>
      </c>
      <c r="N37" s="79">
        <f>Q37</f>
        <v>0</v>
      </c>
      <c r="O37" s="305">
        <f>SUBTOTAL(9,O27:O36)</f>
        <v>0</v>
      </c>
      <c r="P37" s="306">
        <f>SUBTOTAL(9,P27:P36)</f>
        <v>0</v>
      </c>
      <c r="Q37" s="306">
        <f>SUBTOTAL(9,Q27:Q36)</f>
        <v>0</v>
      </c>
      <c r="R37" s="307"/>
      <c r="S37" s="307"/>
      <c r="T37" s="308"/>
    </row>
    <row r="38" spans="1:22" ht="15.75" customHeight="1" thickTop="1" x14ac:dyDescent="0.25">
      <c r="A38" t="s">
        <v>1325</v>
      </c>
      <c r="O38"/>
      <c r="P38"/>
      <c r="U38" s="180"/>
      <c r="V38" s="180"/>
    </row>
    <row r="39" spans="1:22" x14ac:dyDescent="0.25">
      <c r="O39"/>
      <c r="P39"/>
      <c r="U39" s="180"/>
      <c r="V39" s="180"/>
    </row>
    <row r="40" spans="1:22" x14ac:dyDescent="0.25">
      <c r="B40" s="292" t="s">
        <v>1326</v>
      </c>
      <c r="O40"/>
      <c r="P40"/>
      <c r="U40" s="180"/>
      <c r="V40" s="180"/>
    </row>
    <row r="41" spans="1:22" x14ac:dyDescent="0.25">
      <c r="B41" s="294" t="s">
        <v>1327</v>
      </c>
      <c r="O41"/>
      <c r="P41"/>
      <c r="S41" s="180"/>
      <c r="T41" s="180"/>
    </row>
    <row r="42" spans="1:22" x14ac:dyDescent="0.25">
      <c r="B42" s="73" t="s">
        <v>1328</v>
      </c>
      <c r="N42" s="156"/>
      <c r="O42"/>
      <c r="P42"/>
      <c r="S42" s="180"/>
      <c r="T42" s="180"/>
    </row>
    <row r="43" spans="1:22" x14ac:dyDescent="0.25">
      <c r="N43" s="156"/>
      <c r="O43"/>
      <c r="P43"/>
      <c r="S43" s="180"/>
      <c r="T43" s="180"/>
    </row>
    <row r="44" spans="1:22" ht="15.75" customHeight="1" thickBot="1" x14ac:dyDescent="0.3">
      <c r="B44" s="38" t="s">
        <v>1329</v>
      </c>
      <c r="C44" s="38"/>
      <c r="O44"/>
      <c r="P44"/>
      <c r="S44" s="180"/>
      <c r="T44" s="180"/>
    </row>
    <row r="45" spans="1:22" x14ac:dyDescent="0.25">
      <c r="B45" t="s">
        <v>1330</v>
      </c>
      <c r="C45" s="309"/>
      <c r="O45"/>
      <c r="P45"/>
      <c r="S45" s="180"/>
      <c r="T45" s="180"/>
    </row>
    <row r="46" spans="1:22" x14ac:dyDescent="0.25">
      <c r="B46" t="s">
        <v>1331</v>
      </c>
      <c r="C46" s="310"/>
      <c r="O46"/>
      <c r="P46"/>
      <c r="S46" s="180"/>
      <c r="T46" s="180"/>
    </row>
    <row r="47" spans="1:22" x14ac:dyDescent="0.25">
      <c r="B47" t="s">
        <v>1332</v>
      </c>
      <c r="C47" s="311"/>
    </row>
    <row r="48" spans="1:22" ht="15.75" customHeight="1" thickBot="1" x14ac:dyDescent="0.3">
      <c r="O48"/>
      <c r="P48"/>
    </row>
    <row r="49" spans="1:22" ht="27.75" customHeight="1" thickTop="1" thickBot="1" x14ac:dyDescent="0.45">
      <c r="A49" s="39" t="s">
        <v>192</v>
      </c>
      <c r="B49" s="185" t="s">
        <v>1288</v>
      </c>
      <c r="O49"/>
      <c r="P49"/>
    </row>
    <row r="50" spans="1:22" s="162" customFormat="1" ht="65.25" customHeight="1" thickTop="1" thickBot="1" x14ac:dyDescent="0.25">
      <c r="A50" s="69" t="s">
        <v>91</v>
      </c>
      <c r="B50" s="70" t="s">
        <v>97</v>
      </c>
      <c r="C50" s="70" t="s">
        <v>1289</v>
      </c>
      <c r="D50" s="70" t="s">
        <v>1290</v>
      </c>
      <c r="E50" s="70" t="s">
        <v>1291</v>
      </c>
      <c r="F50" s="70" t="s">
        <v>217</v>
      </c>
      <c r="G50" s="70" t="s">
        <v>1292</v>
      </c>
      <c r="H50" s="71" t="s">
        <v>1297</v>
      </c>
      <c r="I50" s="71"/>
      <c r="J50" s="71" t="s">
        <v>1333</v>
      </c>
      <c r="K50" s="71" t="s">
        <v>1296</v>
      </c>
      <c r="L50" s="71" t="s">
        <v>1297</v>
      </c>
      <c r="M50" s="71" t="s">
        <v>225</v>
      </c>
      <c r="N50" s="71" t="s">
        <v>231</v>
      </c>
      <c r="O50" s="275" t="s">
        <v>1298</v>
      </c>
      <c r="P50" s="276" t="s">
        <v>1299</v>
      </c>
      <c r="Q50" s="276" t="s">
        <v>1300</v>
      </c>
      <c r="R50" s="277" t="s">
        <v>1301</v>
      </c>
      <c r="S50" s="277" t="s">
        <v>1302</v>
      </c>
      <c r="T50" s="278" t="s">
        <v>1303</v>
      </c>
    </row>
    <row r="51" spans="1:22" x14ac:dyDescent="0.25">
      <c r="A51" s="279" t="s">
        <v>1304</v>
      </c>
      <c r="B51" s="280"/>
      <c r="C51" s="281" t="s">
        <v>1305</v>
      </c>
      <c r="D51" s="282"/>
      <c r="E51" s="283"/>
      <c r="F51" s="283"/>
      <c r="G51" s="283"/>
      <c r="H51" s="283"/>
      <c r="I51" s="283"/>
      <c r="J51" s="284"/>
      <c r="K51" s="72">
        <f t="shared" ref="K51:K60" si="18">IF(T51=TRUE,F51,0)</f>
        <v>0</v>
      </c>
      <c r="L51" s="73">
        <f t="shared" ref="L51:L60" si="19">IF(T51=TRUE,S51-R51,0)</f>
        <v>0</v>
      </c>
      <c r="M51" s="74">
        <f t="shared" ref="M51:M60" si="20">IF(T51=TRUE,G51/F51,0)</f>
        <v>0</v>
      </c>
      <c r="N51" s="74">
        <f t="shared" ref="N51:N60" si="21">IF(T51=TRUE,(G51*100000)/(F51*L51*C$71),0)</f>
        <v>0</v>
      </c>
      <c r="O51" s="285">
        <f t="shared" ref="O51:O60" si="22">IF(T51=TRUE,K51/K$61,0)</f>
        <v>0</v>
      </c>
      <c r="P51" s="286">
        <f t="shared" ref="P51:P60" si="23">M51*O51</f>
        <v>0</v>
      </c>
      <c r="Q51" s="286">
        <f t="shared" ref="Q51:Q60" si="24">N51*O51</f>
        <v>0</v>
      </c>
      <c r="R51" s="287">
        <f t="shared" ref="R51:R60" si="25">IF(J51&gt;1,J51,C$69+C$70)</f>
        <v>0</v>
      </c>
      <c r="S51" s="287">
        <f t="shared" ref="S51:S60" si="26">IF(I51&gt;1,I51,C$69+H51)</f>
        <v>0</v>
      </c>
      <c r="T51" s="288" t="b">
        <v>0</v>
      </c>
    </row>
    <row r="52" spans="1:22" x14ac:dyDescent="0.25">
      <c r="A52" s="289" t="s">
        <v>1306</v>
      </c>
      <c r="B52" s="290"/>
      <c r="C52" s="291" t="s">
        <v>1307</v>
      </c>
      <c r="D52" s="292"/>
      <c r="E52" s="293"/>
      <c r="F52" s="293"/>
      <c r="G52" s="293"/>
      <c r="H52" s="293"/>
      <c r="I52" s="293"/>
      <c r="J52" s="293"/>
      <c r="K52" s="73">
        <f t="shared" si="18"/>
        <v>0</v>
      </c>
      <c r="L52" s="73">
        <f t="shared" si="19"/>
        <v>0</v>
      </c>
      <c r="M52" s="74">
        <f t="shared" si="20"/>
        <v>0</v>
      </c>
      <c r="N52" s="74">
        <f t="shared" si="21"/>
        <v>0</v>
      </c>
      <c r="O52" s="285">
        <f t="shared" si="22"/>
        <v>0</v>
      </c>
      <c r="P52" s="286">
        <f t="shared" si="23"/>
        <v>0</v>
      </c>
      <c r="Q52" s="295">
        <f t="shared" si="24"/>
        <v>0</v>
      </c>
      <c r="R52" s="287">
        <f t="shared" si="25"/>
        <v>0</v>
      </c>
      <c r="S52" s="287">
        <f t="shared" si="26"/>
        <v>0</v>
      </c>
      <c r="T52" s="296" t="b">
        <v>0</v>
      </c>
    </row>
    <row r="53" spans="1:22" x14ac:dyDescent="0.25">
      <c r="A53" s="289" t="s">
        <v>1308</v>
      </c>
      <c r="B53" s="290"/>
      <c r="C53" s="291" t="s">
        <v>1309</v>
      </c>
      <c r="D53" s="292"/>
      <c r="E53" s="293"/>
      <c r="F53" s="293"/>
      <c r="G53" s="293"/>
      <c r="H53" s="293"/>
      <c r="I53" s="293"/>
      <c r="J53" s="293"/>
      <c r="K53" s="73">
        <f t="shared" si="18"/>
        <v>0</v>
      </c>
      <c r="L53" s="73">
        <f t="shared" si="19"/>
        <v>0</v>
      </c>
      <c r="M53" s="74">
        <f t="shared" si="20"/>
        <v>0</v>
      </c>
      <c r="N53" s="74">
        <f t="shared" si="21"/>
        <v>0</v>
      </c>
      <c r="O53" s="285">
        <f t="shared" si="22"/>
        <v>0</v>
      </c>
      <c r="P53" s="286">
        <f t="shared" si="23"/>
        <v>0</v>
      </c>
      <c r="Q53" s="295">
        <f t="shared" si="24"/>
        <v>0</v>
      </c>
      <c r="R53" s="287">
        <f t="shared" si="25"/>
        <v>0</v>
      </c>
      <c r="S53" s="287">
        <f t="shared" si="26"/>
        <v>0</v>
      </c>
      <c r="T53" s="296" t="b">
        <v>0</v>
      </c>
    </row>
    <row r="54" spans="1:22" x14ac:dyDescent="0.25">
      <c r="A54" s="289" t="s">
        <v>1310</v>
      </c>
      <c r="B54" s="290"/>
      <c r="C54" s="291" t="s">
        <v>1311</v>
      </c>
      <c r="D54" s="292"/>
      <c r="E54" s="293"/>
      <c r="F54" s="293"/>
      <c r="G54" s="293"/>
      <c r="H54" s="293"/>
      <c r="I54" s="293"/>
      <c r="J54" s="293"/>
      <c r="K54" s="73">
        <f t="shared" si="18"/>
        <v>0</v>
      </c>
      <c r="L54" s="73">
        <f t="shared" si="19"/>
        <v>0</v>
      </c>
      <c r="M54" s="74">
        <f t="shared" si="20"/>
        <v>0</v>
      </c>
      <c r="N54" s="74">
        <f t="shared" si="21"/>
        <v>0</v>
      </c>
      <c r="O54" s="285">
        <f t="shared" si="22"/>
        <v>0</v>
      </c>
      <c r="P54" s="286">
        <f t="shared" si="23"/>
        <v>0</v>
      </c>
      <c r="Q54" s="295">
        <f t="shared" si="24"/>
        <v>0</v>
      </c>
      <c r="R54" s="287">
        <f t="shared" si="25"/>
        <v>0</v>
      </c>
      <c r="S54" s="287">
        <f t="shared" si="26"/>
        <v>0</v>
      </c>
      <c r="T54" s="296" t="b">
        <v>0</v>
      </c>
    </row>
    <row r="55" spans="1:22" x14ac:dyDescent="0.25">
      <c r="A55" s="289" t="s">
        <v>1312</v>
      </c>
      <c r="B55" s="290"/>
      <c r="C55" s="291" t="s">
        <v>1313</v>
      </c>
      <c r="D55" s="292"/>
      <c r="E55" s="293"/>
      <c r="F55" s="293"/>
      <c r="G55" s="293"/>
      <c r="H55" s="293"/>
      <c r="I55" s="293"/>
      <c r="J55" s="293"/>
      <c r="K55" s="73">
        <f t="shared" si="18"/>
        <v>0</v>
      </c>
      <c r="L55" s="73">
        <f t="shared" si="19"/>
        <v>0</v>
      </c>
      <c r="M55" s="74">
        <f t="shared" si="20"/>
        <v>0</v>
      </c>
      <c r="N55" s="74">
        <f t="shared" si="21"/>
        <v>0</v>
      </c>
      <c r="O55" s="285">
        <f t="shared" si="22"/>
        <v>0</v>
      </c>
      <c r="P55" s="286">
        <f t="shared" si="23"/>
        <v>0</v>
      </c>
      <c r="Q55" s="295">
        <f t="shared" si="24"/>
        <v>0</v>
      </c>
      <c r="R55" s="287">
        <f t="shared" si="25"/>
        <v>0</v>
      </c>
      <c r="S55" s="287">
        <f t="shared" si="26"/>
        <v>0</v>
      </c>
      <c r="T55" s="296" t="b">
        <v>0</v>
      </c>
    </row>
    <row r="56" spans="1:22" x14ac:dyDescent="0.25">
      <c r="A56" s="289" t="s">
        <v>1314</v>
      </c>
      <c r="B56" s="290"/>
      <c r="C56" s="291" t="s">
        <v>1315</v>
      </c>
      <c r="D56" s="292"/>
      <c r="E56" s="293"/>
      <c r="F56" s="293"/>
      <c r="G56" s="293"/>
      <c r="H56" s="293"/>
      <c r="I56" s="293"/>
      <c r="J56" s="293"/>
      <c r="K56" s="73">
        <f t="shared" si="18"/>
        <v>0</v>
      </c>
      <c r="L56" s="73">
        <f t="shared" si="19"/>
        <v>0</v>
      </c>
      <c r="M56" s="74">
        <f t="shared" si="20"/>
        <v>0</v>
      </c>
      <c r="N56" s="74">
        <f t="shared" si="21"/>
        <v>0</v>
      </c>
      <c r="O56" s="285">
        <f t="shared" si="22"/>
        <v>0</v>
      </c>
      <c r="P56" s="286">
        <f t="shared" si="23"/>
        <v>0</v>
      </c>
      <c r="Q56" s="295">
        <f t="shared" si="24"/>
        <v>0</v>
      </c>
      <c r="R56" s="287">
        <f t="shared" si="25"/>
        <v>0</v>
      </c>
      <c r="S56" s="287">
        <f t="shared" si="26"/>
        <v>0</v>
      </c>
      <c r="T56" s="296" t="b">
        <v>0</v>
      </c>
    </row>
    <row r="57" spans="1:22" x14ac:dyDescent="0.25">
      <c r="A57" s="289" t="s">
        <v>1316</v>
      </c>
      <c r="B57" s="290"/>
      <c r="C57" s="291" t="s">
        <v>1317</v>
      </c>
      <c r="D57" s="292"/>
      <c r="E57" s="293"/>
      <c r="F57" s="293"/>
      <c r="G57" s="293"/>
      <c r="H57" s="293"/>
      <c r="I57" s="293"/>
      <c r="J57" s="293"/>
      <c r="K57" s="73">
        <f t="shared" si="18"/>
        <v>0</v>
      </c>
      <c r="L57" s="73">
        <f t="shared" si="19"/>
        <v>0</v>
      </c>
      <c r="M57" s="74">
        <f t="shared" si="20"/>
        <v>0</v>
      </c>
      <c r="N57" s="74">
        <f t="shared" si="21"/>
        <v>0</v>
      </c>
      <c r="O57" s="285">
        <f t="shared" si="22"/>
        <v>0</v>
      </c>
      <c r="P57" s="286">
        <f t="shared" si="23"/>
        <v>0</v>
      </c>
      <c r="Q57" s="295">
        <f t="shared" si="24"/>
        <v>0</v>
      </c>
      <c r="R57" s="287">
        <f t="shared" si="25"/>
        <v>0</v>
      </c>
      <c r="S57" s="287">
        <f t="shared" si="26"/>
        <v>0</v>
      </c>
      <c r="T57" s="296" t="b">
        <v>0</v>
      </c>
    </row>
    <row r="58" spans="1:22" x14ac:dyDescent="0.25">
      <c r="A58" s="289" t="s">
        <v>1318</v>
      </c>
      <c r="B58" s="290"/>
      <c r="C58" s="291" t="s">
        <v>1319</v>
      </c>
      <c r="D58" s="292"/>
      <c r="E58" s="293"/>
      <c r="F58" s="293"/>
      <c r="G58" s="293"/>
      <c r="H58" s="293"/>
      <c r="I58" s="293"/>
      <c r="J58" s="293"/>
      <c r="K58" s="73">
        <f t="shared" si="18"/>
        <v>0</v>
      </c>
      <c r="L58" s="73">
        <f t="shared" si="19"/>
        <v>0</v>
      </c>
      <c r="M58" s="74">
        <f t="shared" si="20"/>
        <v>0</v>
      </c>
      <c r="N58" s="74">
        <f t="shared" si="21"/>
        <v>0</v>
      </c>
      <c r="O58" s="285">
        <f t="shared" si="22"/>
        <v>0</v>
      </c>
      <c r="P58" s="286">
        <f t="shared" si="23"/>
        <v>0</v>
      </c>
      <c r="Q58" s="295">
        <f t="shared" si="24"/>
        <v>0</v>
      </c>
      <c r="R58" s="287">
        <f t="shared" si="25"/>
        <v>0</v>
      </c>
      <c r="S58" s="287">
        <f t="shared" si="26"/>
        <v>0</v>
      </c>
      <c r="T58" s="296" t="b">
        <v>0</v>
      </c>
    </row>
    <row r="59" spans="1:22" x14ac:dyDescent="0.25">
      <c r="A59" s="289" t="s">
        <v>1320</v>
      </c>
      <c r="B59" s="290"/>
      <c r="C59" s="291" t="s">
        <v>1321</v>
      </c>
      <c r="D59" s="292"/>
      <c r="E59" s="293"/>
      <c r="F59" s="293"/>
      <c r="G59" s="293"/>
      <c r="H59" s="293"/>
      <c r="I59" s="293"/>
      <c r="J59" s="293"/>
      <c r="K59" s="73">
        <f t="shared" si="18"/>
        <v>0</v>
      </c>
      <c r="L59" s="73">
        <f t="shared" si="19"/>
        <v>0</v>
      </c>
      <c r="M59" s="74">
        <f t="shared" si="20"/>
        <v>0</v>
      </c>
      <c r="N59" s="74">
        <f t="shared" si="21"/>
        <v>0</v>
      </c>
      <c r="O59" s="285">
        <f t="shared" si="22"/>
        <v>0</v>
      </c>
      <c r="P59" s="286">
        <f t="shared" si="23"/>
        <v>0</v>
      </c>
      <c r="Q59" s="295">
        <f t="shared" si="24"/>
        <v>0</v>
      </c>
      <c r="R59" s="287">
        <f t="shared" si="25"/>
        <v>0</v>
      </c>
      <c r="S59" s="287">
        <f t="shared" si="26"/>
        <v>0</v>
      </c>
      <c r="T59" s="296" t="b">
        <v>0</v>
      </c>
    </row>
    <row r="60" spans="1:22" ht="15.75" customHeight="1" thickBot="1" x14ac:dyDescent="0.3">
      <c r="A60" s="297" t="s">
        <v>1322</v>
      </c>
      <c r="B60" s="298"/>
      <c r="C60" s="299" t="s">
        <v>1323</v>
      </c>
      <c r="D60" s="300"/>
      <c r="E60" s="301"/>
      <c r="F60" s="301"/>
      <c r="G60" s="301"/>
      <c r="H60" s="301"/>
      <c r="I60" s="301"/>
      <c r="J60" s="301"/>
      <c r="K60" s="76">
        <f t="shared" si="18"/>
        <v>0</v>
      </c>
      <c r="L60" s="73">
        <f t="shared" si="19"/>
        <v>0</v>
      </c>
      <c r="M60" s="74">
        <f t="shared" si="20"/>
        <v>0</v>
      </c>
      <c r="N60" s="74">
        <f t="shared" si="21"/>
        <v>0</v>
      </c>
      <c r="O60" s="285">
        <f t="shared" si="22"/>
        <v>0</v>
      </c>
      <c r="P60" s="286">
        <f t="shared" si="23"/>
        <v>0</v>
      </c>
      <c r="Q60" s="303">
        <f t="shared" si="24"/>
        <v>0</v>
      </c>
      <c r="R60" s="287">
        <f t="shared" si="25"/>
        <v>0</v>
      </c>
      <c r="S60" s="287">
        <f t="shared" si="26"/>
        <v>0</v>
      </c>
      <c r="T60" s="304" t="b">
        <v>0</v>
      </c>
    </row>
    <row r="61" spans="1:22" s="149" customFormat="1" ht="15.75" customHeight="1" thickBot="1" x14ac:dyDescent="0.3">
      <c r="A61" s="36" t="s">
        <v>1324</v>
      </c>
      <c r="B61" s="78"/>
      <c r="C61" s="37" t="s">
        <v>153</v>
      </c>
      <c r="D61" s="37"/>
      <c r="E61" s="37"/>
      <c r="F61" s="37">
        <f>SUBTOTAL(9,F51:F60)</f>
        <v>0</v>
      </c>
      <c r="G61" s="37">
        <f>SUBTOTAL(9,G51:G60)</f>
        <v>0</v>
      </c>
      <c r="H61" s="37"/>
      <c r="I61" s="37"/>
      <c r="J61" s="37"/>
      <c r="K61" s="37">
        <f>SUBTOTAL(9,K51:K60)</f>
        <v>0</v>
      </c>
      <c r="L61" s="37">
        <f>SUBTOTAL(9,L51:L60)</f>
        <v>0</v>
      </c>
      <c r="M61" s="79">
        <f>P61</f>
        <v>0</v>
      </c>
      <c r="N61" s="79">
        <f>Q61</f>
        <v>0</v>
      </c>
      <c r="O61" s="305">
        <f>SUBTOTAL(9,O51:O60)</f>
        <v>0</v>
      </c>
      <c r="P61" s="306">
        <f>SUBTOTAL(9,P51:P60)</f>
        <v>0</v>
      </c>
      <c r="Q61" s="306">
        <f>SUBTOTAL(9,Q51:Q60)</f>
        <v>0</v>
      </c>
      <c r="R61" s="307"/>
      <c r="S61" s="307"/>
      <c r="T61" s="308"/>
    </row>
    <row r="62" spans="1:22" ht="15.75" customHeight="1" thickTop="1" x14ac:dyDescent="0.25">
      <c r="A62" t="s">
        <v>1325</v>
      </c>
      <c r="O62"/>
      <c r="P62"/>
      <c r="U62" s="180"/>
      <c r="V62" s="180"/>
    </row>
    <row r="63" spans="1:22" x14ac:dyDescent="0.25">
      <c r="O63"/>
      <c r="P63"/>
      <c r="U63" s="180"/>
      <c r="V63" s="180"/>
    </row>
    <row r="64" spans="1:22" x14ac:dyDescent="0.25">
      <c r="B64" s="292" t="s">
        <v>1326</v>
      </c>
      <c r="O64"/>
      <c r="P64"/>
      <c r="U64" s="180"/>
      <c r="V64" s="180"/>
    </row>
    <row r="65" spans="1:20" x14ac:dyDescent="0.25">
      <c r="B65" s="294" t="s">
        <v>1327</v>
      </c>
      <c r="O65"/>
      <c r="P65"/>
      <c r="S65" s="180"/>
      <c r="T65" s="180"/>
    </row>
    <row r="66" spans="1:20" x14ac:dyDescent="0.25">
      <c r="B66" s="73" t="s">
        <v>1328</v>
      </c>
      <c r="N66" s="156"/>
      <c r="O66"/>
      <c r="P66"/>
      <c r="S66" s="180"/>
      <c r="T66" s="180"/>
    </row>
    <row r="67" spans="1:20" x14ac:dyDescent="0.25">
      <c r="N67" s="156"/>
      <c r="O67"/>
      <c r="P67"/>
      <c r="S67" s="180"/>
      <c r="T67" s="180"/>
    </row>
    <row r="68" spans="1:20" ht="15.75" customHeight="1" thickBot="1" x14ac:dyDescent="0.3">
      <c r="B68" s="38" t="s">
        <v>1329</v>
      </c>
      <c r="C68" s="38"/>
      <c r="O68"/>
      <c r="P68"/>
      <c r="S68" s="180"/>
      <c r="T68" s="180"/>
    </row>
    <row r="69" spans="1:20" x14ac:dyDescent="0.25">
      <c r="B69" t="s">
        <v>1330</v>
      </c>
      <c r="C69" s="309"/>
      <c r="O69"/>
      <c r="P69"/>
      <c r="S69" s="180"/>
      <c r="T69" s="180"/>
    </row>
    <row r="70" spans="1:20" x14ac:dyDescent="0.25">
      <c r="B70" t="s">
        <v>1331</v>
      </c>
      <c r="C70" s="310"/>
      <c r="O70"/>
      <c r="P70"/>
      <c r="S70" s="180"/>
      <c r="T70" s="180"/>
    </row>
    <row r="71" spans="1:20" x14ac:dyDescent="0.25">
      <c r="B71" t="s">
        <v>1332</v>
      </c>
      <c r="C71" s="311"/>
    </row>
    <row r="72" spans="1:20" ht="15.75" customHeight="1" thickBot="1" x14ac:dyDescent="0.3">
      <c r="O72"/>
      <c r="P72"/>
    </row>
    <row r="73" spans="1:20" ht="27.75" customHeight="1" thickTop="1" thickBot="1" x14ac:dyDescent="0.45">
      <c r="A73" s="39" t="s">
        <v>192</v>
      </c>
      <c r="B73" s="185" t="s">
        <v>1288</v>
      </c>
      <c r="O73"/>
      <c r="P73"/>
    </row>
    <row r="74" spans="1:20" s="162" customFormat="1" ht="65.25" customHeight="1" thickTop="1" thickBot="1" x14ac:dyDescent="0.25">
      <c r="A74" s="69" t="s">
        <v>91</v>
      </c>
      <c r="B74" s="70" t="s">
        <v>97</v>
      </c>
      <c r="C74" s="70" t="s">
        <v>1289</v>
      </c>
      <c r="D74" s="70" t="s">
        <v>1290</v>
      </c>
      <c r="E74" s="70" t="s">
        <v>1291</v>
      </c>
      <c r="F74" s="70" t="s">
        <v>217</v>
      </c>
      <c r="G74" s="70" t="s">
        <v>1292</v>
      </c>
      <c r="H74" s="71" t="s">
        <v>1297</v>
      </c>
      <c r="I74" s="71"/>
      <c r="J74" s="71" t="s">
        <v>1333</v>
      </c>
      <c r="K74" s="71" t="s">
        <v>1296</v>
      </c>
      <c r="L74" s="71" t="s">
        <v>1297</v>
      </c>
      <c r="M74" s="71" t="s">
        <v>225</v>
      </c>
      <c r="N74" s="71" t="s">
        <v>231</v>
      </c>
      <c r="O74" s="275" t="s">
        <v>1298</v>
      </c>
      <c r="P74" s="276" t="s">
        <v>1299</v>
      </c>
      <c r="Q74" s="276" t="s">
        <v>1300</v>
      </c>
      <c r="R74" s="277" t="s">
        <v>1301</v>
      </c>
      <c r="S74" s="277" t="s">
        <v>1302</v>
      </c>
      <c r="T74" s="278" t="s">
        <v>1303</v>
      </c>
    </row>
    <row r="75" spans="1:20" x14ac:dyDescent="0.25">
      <c r="A75" s="279" t="s">
        <v>1304</v>
      </c>
      <c r="B75" s="280"/>
      <c r="C75" s="281" t="s">
        <v>1305</v>
      </c>
      <c r="D75" s="282"/>
      <c r="E75" s="283"/>
      <c r="F75" s="283"/>
      <c r="G75" s="283"/>
      <c r="H75" s="283"/>
      <c r="I75" s="283"/>
      <c r="J75" s="284"/>
      <c r="K75" s="72">
        <f t="shared" ref="K75:K84" si="27">IF(T75=TRUE,F75,0)</f>
        <v>0</v>
      </c>
      <c r="L75" s="73">
        <f t="shared" ref="L75:L84" si="28">IF(T75=TRUE,S75-R75,0)</f>
        <v>0</v>
      </c>
      <c r="M75" s="74">
        <f t="shared" ref="M75:M84" si="29">IF(T75=TRUE,G75/F75,0)</f>
        <v>0</v>
      </c>
      <c r="N75" s="74">
        <f t="shared" ref="N75:N84" si="30">IF(T75=TRUE,(G75*100000)/(F75*L75*C$95),0)</f>
        <v>0</v>
      </c>
      <c r="O75" s="285">
        <f t="shared" ref="O75:O84" si="31">IF(T75=TRUE,K75/K$85,0)</f>
        <v>0</v>
      </c>
      <c r="P75" s="286">
        <f t="shared" ref="P75:P84" si="32">M75*O75</f>
        <v>0</v>
      </c>
      <c r="Q75" s="286">
        <f t="shared" ref="Q75:Q84" si="33">N75*O75</f>
        <v>0</v>
      </c>
      <c r="R75" s="287">
        <f t="shared" ref="R75:R84" si="34">IF(J75&gt;1,J75,C$93+C$94)</f>
        <v>0</v>
      </c>
      <c r="S75" s="287">
        <f t="shared" ref="S75:S84" si="35">IF(I75&gt;1,I75,C$93+H75)</f>
        <v>0</v>
      </c>
      <c r="T75" s="288" t="b">
        <v>0</v>
      </c>
    </row>
    <row r="76" spans="1:20" x14ac:dyDescent="0.25">
      <c r="A76" s="289" t="s">
        <v>1306</v>
      </c>
      <c r="B76" s="290"/>
      <c r="C76" s="291" t="s">
        <v>1307</v>
      </c>
      <c r="D76" s="292"/>
      <c r="E76" s="293"/>
      <c r="F76" s="293"/>
      <c r="G76" s="293"/>
      <c r="H76" s="293"/>
      <c r="I76" s="293"/>
      <c r="J76" s="293"/>
      <c r="K76" s="73">
        <f t="shared" si="27"/>
        <v>0</v>
      </c>
      <c r="L76" s="73">
        <f t="shared" si="28"/>
        <v>0</v>
      </c>
      <c r="M76" s="74">
        <f t="shared" si="29"/>
        <v>0</v>
      </c>
      <c r="N76" s="74">
        <f t="shared" si="30"/>
        <v>0</v>
      </c>
      <c r="O76" s="285">
        <f t="shared" si="31"/>
        <v>0</v>
      </c>
      <c r="P76" s="286">
        <f t="shared" si="32"/>
        <v>0</v>
      </c>
      <c r="Q76" s="295">
        <f t="shared" si="33"/>
        <v>0</v>
      </c>
      <c r="R76" s="287">
        <f t="shared" si="34"/>
        <v>0</v>
      </c>
      <c r="S76" s="287">
        <f t="shared" si="35"/>
        <v>0</v>
      </c>
      <c r="T76" s="296" t="b">
        <v>0</v>
      </c>
    </row>
    <row r="77" spans="1:20" x14ac:dyDescent="0.25">
      <c r="A77" s="289" t="s">
        <v>1308</v>
      </c>
      <c r="B77" s="290"/>
      <c r="C77" s="291" t="s">
        <v>1309</v>
      </c>
      <c r="D77" s="292"/>
      <c r="E77" s="293"/>
      <c r="F77" s="293"/>
      <c r="G77" s="293"/>
      <c r="H77" s="293"/>
      <c r="I77" s="293"/>
      <c r="J77" s="293"/>
      <c r="K77" s="73">
        <f t="shared" si="27"/>
        <v>0</v>
      </c>
      <c r="L77" s="73">
        <f t="shared" si="28"/>
        <v>0</v>
      </c>
      <c r="M77" s="74">
        <f t="shared" si="29"/>
        <v>0</v>
      </c>
      <c r="N77" s="74">
        <f t="shared" si="30"/>
        <v>0</v>
      </c>
      <c r="O77" s="285">
        <f t="shared" si="31"/>
        <v>0</v>
      </c>
      <c r="P77" s="286">
        <f t="shared" si="32"/>
        <v>0</v>
      </c>
      <c r="Q77" s="295">
        <f t="shared" si="33"/>
        <v>0</v>
      </c>
      <c r="R77" s="287">
        <f t="shared" si="34"/>
        <v>0</v>
      </c>
      <c r="S77" s="287">
        <f t="shared" si="35"/>
        <v>0</v>
      </c>
      <c r="T77" s="296" t="b">
        <v>0</v>
      </c>
    </row>
    <row r="78" spans="1:20" x14ac:dyDescent="0.25">
      <c r="A78" s="289" t="s">
        <v>1310</v>
      </c>
      <c r="B78" s="290"/>
      <c r="C78" s="291" t="s">
        <v>1311</v>
      </c>
      <c r="D78" s="292"/>
      <c r="E78" s="293"/>
      <c r="F78" s="293"/>
      <c r="G78" s="293"/>
      <c r="H78" s="293"/>
      <c r="I78" s="293"/>
      <c r="J78" s="293"/>
      <c r="K78" s="73">
        <f t="shared" si="27"/>
        <v>0</v>
      </c>
      <c r="L78" s="73">
        <f t="shared" si="28"/>
        <v>0</v>
      </c>
      <c r="M78" s="74">
        <f t="shared" si="29"/>
        <v>0</v>
      </c>
      <c r="N78" s="74">
        <f t="shared" si="30"/>
        <v>0</v>
      </c>
      <c r="O78" s="285">
        <f t="shared" si="31"/>
        <v>0</v>
      </c>
      <c r="P78" s="286">
        <f t="shared" si="32"/>
        <v>0</v>
      </c>
      <c r="Q78" s="295">
        <f t="shared" si="33"/>
        <v>0</v>
      </c>
      <c r="R78" s="287">
        <f t="shared" si="34"/>
        <v>0</v>
      </c>
      <c r="S78" s="287">
        <f t="shared" si="35"/>
        <v>0</v>
      </c>
      <c r="T78" s="296" t="b">
        <v>0</v>
      </c>
    </row>
    <row r="79" spans="1:20" x14ac:dyDescent="0.25">
      <c r="A79" s="289" t="s">
        <v>1312</v>
      </c>
      <c r="B79" s="290"/>
      <c r="C79" s="291" t="s">
        <v>1313</v>
      </c>
      <c r="D79" s="292"/>
      <c r="E79" s="293"/>
      <c r="F79" s="293"/>
      <c r="G79" s="293"/>
      <c r="H79" s="293"/>
      <c r="I79" s="293"/>
      <c r="J79" s="293"/>
      <c r="K79" s="73">
        <f t="shared" si="27"/>
        <v>0</v>
      </c>
      <c r="L79" s="73">
        <f t="shared" si="28"/>
        <v>0</v>
      </c>
      <c r="M79" s="74">
        <f t="shared" si="29"/>
        <v>0</v>
      </c>
      <c r="N79" s="74">
        <f t="shared" si="30"/>
        <v>0</v>
      </c>
      <c r="O79" s="285">
        <f t="shared" si="31"/>
        <v>0</v>
      </c>
      <c r="P79" s="286">
        <f t="shared" si="32"/>
        <v>0</v>
      </c>
      <c r="Q79" s="295">
        <f t="shared" si="33"/>
        <v>0</v>
      </c>
      <c r="R79" s="287">
        <f t="shared" si="34"/>
        <v>0</v>
      </c>
      <c r="S79" s="287">
        <f t="shared" si="35"/>
        <v>0</v>
      </c>
      <c r="T79" s="296" t="b">
        <v>0</v>
      </c>
    </row>
    <row r="80" spans="1:20" x14ac:dyDescent="0.25">
      <c r="A80" s="289" t="s">
        <v>1314</v>
      </c>
      <c r="B80" s="290"/>
      <c r="C80" s="291" t="s">
        <v>1315</v>
      </c>
      <c r="D80" s="292"/>
      <c r="E80" s="293"/>
      <c r="F80" s="293"/>
      <c r="G80" s="293"/>
      <c r="H80" s="293"/>
      <c r="I80" s="293"/>
      <c r="J80" s="293"/>
      <c r="K80" s="73">
        <f t="shared" si="27"/>
        <v>0</v>
      </c>
      <c r="L80" s="73">
        <f t="shared" si="28"/>
        <v>0</v>
      </c>
      <c r="M80" s="74">
        <f t="shared" si="29"/>
        <v>0</v>
      </c>
      <c r="N80" s="74">
        <f t="shared" si="30"/>
        <v>0</v>
      </c>
      <c r="O80" s="285">
        <f t="shared" si="31"/>
        <v>0</v>
      </c>
      <c r="P80" s="286">
        <f t="shared" si="32"/>
        <v>0</v>
      </c>
      <c r="Q80" s="295">
        <f t="shared" si="33"/>
        <v>0</v>
      </c>
      <c r="R80" s="287">
        <f t="shared" si="34"/>
        <v>0</v>
      </c>
      <c r="S80" s="287">
        <f t="shared" si="35"/>
        <v>0</v>
      </c>
      <c r="T80" s="296" t="b">
        <v>0</v>
      </c>
    </row>
    <row r="81" spans="1:22" x14ac:dyDescent="0.25">
      <c r="A81" s="289" t="s">
        <v>1316</v>
      </c>
      <c r="B81" s="290"/>
      <c r="C81" s="291" t="s">
        <v>1317</v>
      </c>
      <c r="D81" s="292"/>
      <c r="E81" s="293"/>
      <c r="F81" s="293"/>
      <c r="G81" s="293"/>
      <c r="H81" s="293"/>
      <c r="I81" s="293"/>
      <c r="J81" s="293"/>
      <c r="K81" s="73">
        <f t="shared" si="27"/>
        <v>0</v>
      </c>
      <c r="L81" s="73">
        <f t="shared" si="28"/>
        <v>0</v>
      </c>
      <c r="M81" s="74">
        <f t="shared" si="29"/>
        <v>0</v>
      </c>
      <c r="N81" s="74">
        <f t="shared" si="30"/>
        <v>0</v>
      </c>
      <c r="O81" s="285">
        <f t="shared" si="31"/>
        <v>0</v>
      </c>
      <c r="P81" s="286">
        <f t="shared" si="32"/>
        <v>0</v>
      </c>
      <c r="Q81" s="295">
        <f t="shared" si="33"/>
        <v>0</v>
      </c>
      <c r="R81" s="287">
        <f t="shared" si="34"/>
        <v>0</v>
      </c>
      <c r="S81" s="287">
        <f t="shared" si="35"/>
        <v>0</v>
      </c>
      <c r="T81" s="296" t="b">
        <v>0</v>
      </c>
    </row>
    <row r="82" spans="1:22" x14ac:dyDescent="0.25">
      <c r="A82" s="289" t="s">
        <v>1318</v>
      </c>
      <c r="B82" s="290"/>
      <c r="C82" s="291" t="s">
        <v>1319</v>
      </c>
      <c r="D82" s="292"/>
      <c r="E82" s="293"/>
      <c r="F82" s="293"/>
      <c r="G82" s="293"/>
      <c r="H82" s="293"/>
      <c r="I82" s="293"/>
      <c r="J82" s="293"/>
      <c r="K82" s="73">
        <f t="shared" si="27"/>
        <v>0</v>
      </c>
      <c r="L82" s="73">
        <f t="shared" si="28"/>
        <v>0</v>
      </c>
      <c r="M82" s="74">
        <f t="shared" si="29"/>
        <v>0</v>
      </c>
      <c r="N82" s="74">
        <f t="shared" si="30"/>
        <v>0</v>
      </c>
      <c r="O82" s="285">
        <f t="shared" si="31"/>
        <v>0</v>
      </c>
      <c r="P82" s="286">
        <f t="shared" si="32"/>
        <v>0</v>
      </c>
      <c r="Q82" s="295">
        <f t="shared" si="33"/>
        <v>0</v>
      </c>
      <c r="R82" s="287">
        <f t="shared" si="34"/>
        <v>0</v>
      </c>
      <c r="S82" s="287">
        <f t="shared" si="35"/>
        <v>0</v>
      </c>
      <c r="T82" s="296" t="b">
        <v>0</v>
      </c>
    </row>
    <row r="83" spans="1:22" x14ac:dyDescent="0.25">
      <c r="A83" s="289" t="s">
        <v>1320</v>
      </c>
      <c r="B83" s="290"/>
      <c r="C83" s="291" t="s">
        <v>1321</v>
      </c>
      <c r="D83" s="292"/>
      <c r="E83" s="293"/>
      <c r="F83" s="293"/>
      <c r="G83" s="293"/>
      <c r="H83" s="293"/>
      <c r="I83" s="293"/>
      <c r="J83" s="293"/>
      <c r="K83" s="73">
        <f t="shared" si="27"/>
        <v>0</v>
      </c>
      <c r="L83" s="73">
        <f t="shared" si="28"/>
        <v>0</v>
      </c>
      <c r="M83" s="74">
        <f t="shared" si="29"/>
        <v>0</v>
      </c>
      <c r="N83" s="74">
        <f t="shared" si="30"/>
        <v>0</v>
      </c>
      <c r="O83" s="285">
        <f t="shared" si="31"/>
        <v>0</v>
      </c>
      <c r="P83" s="286">
        <f t="shared" si="32"/>
        <v>0</v>
      </c>
      <c r="Q83" s="295">
        <f t="shared" si="33"/>
        <v>0</v>
      </c>
      <c r="R83" s="287">
        <f t="shared" si="34"/>
        <v>0</v>
      </c>
      <c r="S83" s="287">
        <f t="shared" si="35"/>
        <v>0</v>
      </c>
      <c r="T83" s="296" t="b">
        <v>0</v>
      </c>
    </row>
    <row r="84" spans="1:22" ht="15.75" customHeight="1" thickBot="1" x14ac:dyDescent="0.3">
      <c r="A84" s="297" t="s">
        <v>1322</v>
      </c>
      <c r="B84" s="298"/>
      <c r="C84" s="299" t="s">
        <v>1323</v>
      </c>
      <c r="D84" s="300"/>
      <c r="E84" s="301"/>
      <c r="F84" s="301"/>
      <c r="G84" s="301"/>
      <c r="H84" s="301"/>
      <c r="I84" s="301"/>
      <c r="J84" s="301"/>
      <c r="K84" s="76">
        <f t="shared" si="27"/>
        <v>0</v>
      </c>
      <c r="L84" s="73">
        <f t="shared" si="28"/>
        <v>0</v>
      </c>
      <c r="M84" s="74">
        <f t="shared" si="29"/>
        <v>0</v>
      </c>
      <c r="N84" s="74">
        <f t="shared" si="30"/>
        <v>0</v>
      </c>
      <c r="O84" s="285">
        <f t="shared" si="31"/>
        <v>0</v>
      </c>
      <c r="P84" s="286">
        <f t="shared" si="32"/>
        <v>0</v>
      </c>
      <c r="Q84" s="303">
        <f t="shared" si="33"/>
        <v>0</v>
      </c>
      <c r="R84" s="287">
        <f t="shared" si="34"/>
        <v>0</v>
      </c>
      <c r="S84" s="287">
        <f t="shared" si="35"/>
        <v>0</v>
      </c>
      <c r="T84" s="304" t="b">
        <v>0</v>
      </c>
    </row>
    <row r="85" spans="1:22" s="149" customFormat="1" ht="15.75" customHeight="1" thickBot="1" x14ac:dyDescent="0.3">
      <c r="A85" s="36" t="s">
        <v>1324</v>
      </c>
      <c r="B85" s="78"/>
      <c r="C85" s="37" t="s">
        <v>153</v>
      </c>
      <c r="D85" s="37"/>
      <c r="E85" s="37"/>
      <c r="F85" s="37">
        <f>SUBTOTAL(9,F75:F84)</f>
        <v>0</v>
      </c>
      <c r="G85" s="37">
        <f>SUBTOTAL(9,G75:G84)</f>
        <v>0</v>
      </c>
      <c r="H85" s="37"/>
      <c r="I85" s="37"/>
      <c r="J85" s="37"/>
      <c r="K85" s="37">
        <f>SUBTOTAL(9,K75:K84)</f>
        <v>0</v>
      </c>
      <c r="L85" s="37">
        <f>SUBTOTAL(9,L75:L84)</f>
        <v>0</v>
      </c>
      <c r="M85" s="79">
        <f>P85</f>
        <v>0</v>
      </c>
      <c r="N85" s="79">
        <f>Q85</f>
        <v>0</v>
      </c>
      <c r="O85" s="305">
        <f>SUBTOTAL(9,O75:O84)</f>
        <v>0</v>
      </c>
      <c r="P85" s="306">
        <f>SUBTOTAL(9,P75:P84)</f>
        <v>0</v>
      </c>
      <c r="Q85" s="306">
        <f>SUBTOTAL(9,Q75:Q84)</f>
        <v>0</v>
      </c>
      <c r="R85" s="307"/>
      <c r="S85" s="307"/>
      <c r="T85" s="308"/>
    </row>
    <row r="86" spans="1:22" ht="15.75" customHeight="1" thickTop="1" x14ac:dyDescent="0.25">
      <c r="A86" t="s">
        <v>1325</v>
      </c>
      <c r="O86"/>
      <c r="P86"/>
      <c r="U86" s="180"/>
      <c r="V86" s="180"/>
    </row>
    <row r="87" spans="1:22" x14ac:dyDescent="0.25">
      <c r="O87"/>
      <c r="P87"/>
      <c r="U87" s="180"/>
      <c r="V87" s="180"/>
    </row>
    <row r="88" spans="1:22" x14ac:dyDescent="0.25">
      <c r="B88" s="292" t="s">
        <v>1326</v>
      </c>
      <c r="O88"/>
      <c r="P88"/>
      <c r="U88" s="180"/>
      <c r="V88" s="180"/>
    </row>
    <row r="89" spans="1:22" x14ac:dyDescent="0.25">
      <c r="B89" s="294" t="s">
        <v>1327</v>
      </c>
      <c r="O89"/>
      <c r="P89"/>
      <c r="S89" s="180"/>
      <c r="T89" s="180"/>
    </row>
    <row r="90" spans="1:22" x14ac:dyDescent="0.25">
      <c r="B90" s="73" t="s">
        <v>1328</v>
      </c>
      <c r="N90" s="156"/>
      <c r="O90"/>
      <c r="P90"/>
      <c r="S90" s="180"/>
      <c r="T90" s="180"/>
    </row>
    <row r="91" spans="1:22" x14ac:dyDescent="0.25">
      <c r="N91" s="156"/>
      <c r="O91"/>
      <c r="P91"/>
      <c r="S91" s="180"/>
      <c r="T91" s="180"/>
    </row>
    <row r="92" spans="1:22" ht="15.75" customHeight="1" thickBot="1" x14ac:dyDescent="0.3">
      <c r="B92" s="38" t="s">
        <v>1329</v>
      </c>
      <c r="C92" s="38"/>
      <c r="O92"/>
      <c r="P92"/>
      <c r="S92" s="180"/>
      <c r="T92" s="180"/>
    </row>
    <row r="93" spans="1:22" x14ac:dyDescent="0.25">
      <c r="B93" t="s">
        <v>1330</v>
      </c>
      <c r="C93" s="309"/>
      <c r="O93"/>
      <c r="P93"/>
      <c r="S93" s="180"/>
      <c r="T93" s="180"/>
    </row>
    <row r="94" spans="1:22" x14ac:dyDescent="0.25">
      <c r="B94" t="s">
        <v>1331</v>
      </c>
      <c r="C94" s="310"/>
      <c r="O94"/>
      <c r="P94"/>
      <c r="S94" s="180"/>
      <c r="T94" s="180"/>
    </row>
    <row r="95" spans="1:22" x14ac:dyDescent="0.25">
      <c r="B95" t="s">
        <v>1332</v>
      </c>
      <c r="C95" s="311"/>
    </row>
    <row r="96" spans="1:22" ht="15.75" customHeight="1" thickBot="1" x14ac:dyDescent="0.3">
      <c r="O96"/>
      <c r="P96"/>
    </row>
    <row r="97" spans="1:22" ht="27.75" customHeight="1" thickTop="1" thickBot="1" x14ac:dyDescent="0.45">
      <c r="A97" s="39" t="s">
        <v>192</v>
      </c>
      <c r="B97" s="185" t="s">
        <v>1288</v>
      </c>
      <c r="O97"/>
      <c r="P97"/>
    </row>
    <row r="98" spans="1:22" s="162" customFormat="1" ht="65.25" customHeight="1" thickTop="1" thickBot="1" x14ac:dyDescent="0.25">
      <c r="A98" s="69" t="s">
        <v>91</v>
      </c>
      <c r="B98" s="70" t="s">
        <v>97</v>
      </c>
      <c r="C98" s="70" t="s">
        <v>1289</v>
      </c>
      <c r="D98" s="70" t="s">
        <v>1290</v>
      </c>
      <c r="E98" s="70" t="s">
        <v>1291</v>
      </c>
      <c r="F98" s="70" t="s">
        <v>217</v>
      </c>
      <c r="G98" s="70" t="s">
        <v>1292</v>
      </c>
      <c r="H98" s="71" t="s">
        <v>1297</v>
      </c>
      <c r="I98" s="71"/>
      <c r="J98" s="71" t="s">
        <v>1333</v>
      </c>
      <c r="K98" s="71" t="s">
        <v>1296</v>
      </c>
      <c r="L98" s="71" t="s">
        <v>1297</v>
      </c>
      <c r="M98" s="71" t="s">
        <v>225</v>
      </c>
      <c r="N98" s="71" t="s">
        <v>231</v>
      </c>
      <c r="O98" s="275" t="s">
        <v>1298</v>
      </c>
      <c r="P98" s="276" t="s">
        <v>1299</v>
      </c>
      <c r="Q98" s="276" t="s">
        <v>1300</v>
      </c>
      <c r="R98" s="277" t="s">
        <v>1301</v>
      </c>
      <c r="S98" s="277" t="s">
        <v>1302</v>
      </c>
      <c r="T98" s="278" t="s">
        <v>1303</v>
      </c>
    </row>
    <row r="99" spans="1:22" x14ac:dyDescent="0.25">
      <c r="A99" s="279" t="s">
        <v>1304</v>
      </c>
      <c r="B99" s="280"/>
      <c r="C99" s="281" t="s">
        <v>1305</v>
      </c>
      <c r="D99" s="282"/>
      <c r="E99" s="283"/>
      <c r="F99" s="283"/>
      <c r="G99" s="283"/>
      <c r="H99" s="283"/>
      <c r="I99" s="283"/>
      <c r="J99" s="284"/>
      <c r="K99" s="72">
        <f t="shared" ref="K99:K108" si="36">IF(T99=TRUE,F99,0)</f>
        <v>0</v>
      </c>
      <c r="L99" s="73">
        <f t="shared" ref="L99:L108" si="37">IF(T99=TRUE,S99-R99,0)</f>
        <v>0</v>
      </c>
      <c r="M99" s="74">
        <f t="shared" ref="M99:M108" si="38">IF(T99=TRUE,G99/F99,0)</f>
        <v>0</v>
      </c>
      <c r="N99" s="74">
        <f t="shared" ref="N99:N108" si="39">IF(T99=TRUE,(G99*100000)/(F99*L99*C$119),0)</f>
        <v>0</v>
      </c>
      <c r="O99" s="285">
        <f t="shared" ref="O99:O108" si="40">IF(T99=TRUE,K99/K$109,0)</f>
        <v>0</v>
      </c>
      <c r="P99" s="286">
        <f t="shared" ref="P99:P108" si="41">M99*O99</f>
        <v>0</v>
      </c>
      <c r="Q99" s="286">
        <f t="shared" ref="Q99:Q108" si="42">N99*O99</f>
        <v>0</v>
      </c>
      <c r="R99" s="287">
        <f t="shared" ref="R99:R108" si="43">IF(J99&gt;1,J99,C$117+C$118)</f>
        <v>0</v>
      </c>
      <c r="S99" s="287">
        <f t="shared" ref="S99:S108" si="44">IF(I99&gt;1,I99,C$117+H99)</f>
        <v>0</v>
      </c>
      <c r="T99" s="288" t="b">
        <v>0</v>
      </c>
    </row>
    <row r="100" spans="1:22" x14ac:dyDescent="0.25">
      <c r="A100" s="289" t="s">
        <v>1306</v>
      </c>
      <c r="B100" s="290"/>
      <c r="C100" s="291" t="s">
        <v>1307</v>
      </c>
      <c r="D100" s="292"/>
      <c r="E100" s="293"/>
      <c r="F100" s="293"/>
      <c r="G100" s="293"/>
      <c r="H100" s="293"/>
      <c r="I100" s="293"/>
      <c r="J100" s="293"/>
      <c r="K100" s="73">
        <f t="shared" si="36"/>
        <v>0</v>
      </c>
      <c r="L100" s="73">
        <f t="shared" si="37"/>
        <v>0</v>
      </c>
      <c r="M100" s="74">
        <f t="shared" si="38"/>
        <v>0</v>
      </c>
      <c r="N100" s="74">
        <f t="shared" si="39"/>
        <v>0</v>
      </c>
      <c r="O100" s="285">
        <f t="shared" si="40"/>
        <v>0</v>
      </c>
      <c r="P100" s="286">
        <f t="shared" si="41"/>
        <v>0</v>
      </c>
      <c r="Q100" s="295">
        <f t="shared" si="42"/>
        <v>0</v>
      </c>
      <c r="R100" s="287">
        <f t="shared" si="43"/>
        <v>0</v>
      </c>
      <c r="S100" s="287">
        <f t="shared" si="44"/>
        <v>0</v>
      </c>
      <c r="T100" s="296" t="b">
        <v>0</v>
      </c>
    </row>
    <row r="101" spans="1:22" x14ac:dyDescent="0.25">
      <c r="A101" s="289" t="s">
        <v>1308</v>
      </c>
      <c r="B101" s="290"/>
      <c r="C101" s="291" t="s">
        <v>1309</v>
      </c>
      <c r="D101" s="292"/>
      <c r="E101" s="293"/>
      <c r="F101" s="293"/>
      <c r="G101" s="293"/>
      <c r="H101" s="293"/>
      <c r="I101" s="293"/>
      <c r="J101" s="293"/>
      <c r="K101" s="73">
        <f t="shared" si="36"/>
        <v>0</v>
      </c>
      <c r="L101" s="73">
        <f t="shared" si="37"/>
        <v>0</v>
      </c>
      <c r="M101" s="74">
        <f t="shared" si="38"/>
        <v>0</v>
      </c>
      <c r="N101" s="74">
        <f t="shared" si="39"/>
        <v>0</v>
      </c>
      <c r="O101" s="285">
        <f t="shared" si="40"/>
        <v>0</v>
      </c>
      <c r="P101" s="286">
        <f t="shared" si="41"/>
        <v>0</v>
      </c>
      <c r="Q101" s="295">
        <f t="shared" si="42"/>
        <v>0</v>
      </c>
      <c r="R101" s="287">
        <f t="shared" si="43"/>
        <v>0</v>
      </c>
      <c r="S101" s="287">
        <f t="shared" si="44"/>
        <v>0</v>
      </c>
      <c r="T101" s="296" t="b">
        <v>0</v>
      </c>
    </row>
    <row r="102" spans="1:22" x14ac:dyDescent="0.25">
      <c r="A102" s="289" t="s">
        <v>1310</v>
      </c>
      <c r="B102" s="290"/>
      <c r="C102" s="291" t="s">
        <v>1311</v>
      </c>
      <c r="D102" s="292"/>
      <c r="E102" s="293"/>
      <c r="F102" s="293"/>
      <c r="G102" s="293"/>
      <c r="H102" s="293"/>
      <c r="I102" s="293"/>
      <c r="J102" s="293"/>
      <c r="K102" s="73">
        <f t="shared" si="36"/>
        <v>0</v>
      </c>
      <c r="L102" s="73">
        <f t="shared" si="37"/>
        <v>0</v>
      </c>
      <c r="M102" s="74">
        <f t="shared" si="38"/>
        <v>0</v>
      </c>
      <c r="N102" s="74">
        <f t="shared" si="39"/>
        <v>0</v>
      </c>
      <c r="O102" s="285">
        <f t="shared" si="40"/>
        <v>0</v>
      </c>
      <c r="P102" s="286">
        <f t="shared" si="41"/>
        <v>0</v>
      </c>
      <c r="Q102" s="295">
        <f t="shared" si="42"/>
        <v>0</v>
      </c>
      <c r="R102" s="287">
        <f t="shared" si="43"/>
        <v>0</v>
      </c>
      <c r="S102" s="287">
        <f t="shared" si="44"/>
        <v>0</v>
      </c>
      <c r="T102" s="296" t="b">
        <v>0</v>
      </c>
    </row>
    <row r="103" spans="1:22" x14ac:dyDescent="0.25">
      <c r="A103" s="289" t="s">
        <v>1312</v>
      </c>
      <c r="B103" s="290"/>
      <c r="C103" s="291" t="s">
        <v>1313</v>
      </c>
      <c r="D103" s="292"/>
      <c r="E103" s="293"/>
      <c r="F103" s="293"/>
      <c r="G103" s="293"/>
      <c r="H103" s="293"/>
      <c r="I103" s="293"/>
      <c r="J103" s="293"/>
      <c r="K103" s="73">
        <f t="shared" si="36"/>
        <v>0</v>
      </c>
      <c r="L103" s="73">
        <f t="shared" si="37"/>
        <v>0</v>
      </c>
      <c r="M103" s="74">
        <f t="shared" si="38"/>
        <v>0</v>
      </c>
      <c r="N103" s="74">
        <f t="shared" si="39"/>
        <v>0</v>
      </c>
      <c r="O103" s="285">
        <f t="shared" si="40"/>
        <v>0</v>
      </c>
      <c r="P103" s="286">
        <f t="shared" si="41"/>
        <v>0</v>
      </c>
      <c r="Q103" s="295">
        <f t="shared" si="42"/>
        <v>0</v>
      </c>
      <c r="R103" s="287">
        <f t="shared" si="43"/>
        <v>0</v>
      </c>
      <c r="S103" s="287">
        <f t="shared" si="44"/>
        <v>0</v>
      </c>
      <c r="T103" s="296" t="b">
        <v>0</v>
      </c>
    </row>
    <row r="104" spans="1:22" x14ac:dyDescent="0.25">
      <c r="A104" s="289" t="s">
        <v>1314</v>
      </c>
      <c r="B104" s="290"/>
      <c r="C104" s="291" t="s">
        <v>1315</v>
      </c>
      <c r="D104" s="292"/>
      <c r="E104" s="293"/>
      <c r="F104" s="293"/>
      <c r="G104" s="293"/>
      <c r="H104" s="293"/>
      <c r="I104" s="293"/>
      <c r="J104" s="293"/>
      <c r="K104" s="73">
        <f t="shared" si="36"/>
        <v>0</v>
      </c>
      <c r="L104" s="73">
        <f t="shared" si="37"/>
        <v>0</v>
      </c>
      <c r="M104" s="74">
        <f t="shared" si="38"/>
        <v>0</v>
      </c>
      <c r="N104" s="74">
        <f t="shared" si="39"/>
        <v>0</v>
      </c>
      <c r="O104" s="285">
        <f t="shared" si="40"/>
        <v>0</v>
      </c>
      <c r="P104" s="286">
        <f t="shared" si="41"/>
        <v>0</v>
      </c>
      <c r="Q104" s="295">
        <f t="shared" si="42"/>
        <v>0</v>
      </c>
      <c r="R104" s="287">
        <f t="shared" si="43"/>
        <v>0</v>
      </c>
      <c r="S104" s="287">
        <f t="shared" si="44"/>
        <v>0</v>
      </c>
      <c r="T104" s="296" t="b">
        <v>0</v>
      </c>
    </row>
    <row r="105" spans="1:22" x14ac:dyDescent="0.25">
      <c r="A105" s="289" t="s">
        <v>1316</v>
      </c>
      <c r="B105" s="290"/>
      <c r="C105" s="291" t="s">
        <v>1317</v>
      </c>
      <c r="D105" s="292"/>
      <c r="E105" s="293"/>
      <c r="F105" s="293"/>
      <c r="G105" s="293"/>
      <c r="H105" s="293"/>
      <c r="I105" s="293"/>
      <c r="J105" s="293"/>
      <c r="K105" s="73">
        <f t="shared" si="36"/>
        <v>0</v>
      </c>
      <c r="L105" s="73">
        <f t="shared" si="37"/>
        <v>0</v>
      </c>
      <c r="M105" s="74">
        <f t="shared" si="38"/>
        <v>0</v>
      </c>
      <c r="N105" s="74">
        <f t="shared" si="39"/>
        <v>0</v>
      </c>
      <c r="O105" s="285">
        <f t="shared" si="40"/>
        <v>0</v>
      </c>
      <c r="P105" s="286">
        <f t="shared" si="41"/>
        <v>0</v>
      </c>
      <c r="Q105" s="295">
        <f t="shared" si="42"/>
        <v>0</v>
      </c>
      <c r="R105" s="287">
        <f t="shared" si="43"/>
        <v>0</v>
      </c>
      <c r="S105" s="287">
        <f t="shared" si="44"/>
        <v>0</v>
      </c>
      <c r="T105" s="296" t="b">
        <v>0</v>
      </c>
    </row>
    <row r="106" spans="1:22" x14ac:dyDescent="0.25">
      <c r="A106" s="289" t="s">
        <v>1318</v>
      </c>
      <c r="B106" s="290"/>
      <c r="C106" s="291" t="s">
        <v>1319</v>
      </c>
      <c r="D106" s="292"/>
      <c r="E106" s="293"/>
      <c r="F106" s="293"/>
      <c r="G106" s="293"/>
      <c r="H106" s="293"/>
      <c r="I106" s="293"/>
      <c r="J106" s="293"/>
      <c r="K106" s="73">
        <f t="shared" si="36"/>
        <v>0</v>
      </c>
      <c r="L106" s="73">
        <f t="shared" si="37"/>
        <v>0</v>
      </c>
      <c r="M106" s="74">
        <f t="shared" si="38"/>
        <v>0</v>
      </c>
      <c r="N106" s="74">
        <f t="shared" si="39"/>
        <v>0</v>
      </c>
      <c r="O106" s="285">
        <f t="shared" si="40"/>
        <v>0</v>
      </c>
      <c r="P106" s="286">
        <f t="shared" si="41"/>
        <v>0</v>
      </c>
      <c r="Q106" s="295">
        <f t="shared" si="42"/>
        <v>0</v>
      </c>
      <c r="R106" s="287">
        <f t="shared" si="43"/>
        <v>0</v>
      </c>
      <c r="S106" s="287">
        <f t="shared" si="44"/>
        <v>0</v>
      </c>
      <c r="T106" s="296" t="b">
        <v>0</v>
      </c>
    </row>
    <row r="107" spans="1:22" x14ac:dyDescent="0.25">
      <c r="A107" s="289" t="s">
        <v>1320</v>
      </c>
      <c r="B107" s="290"/>
      <c r="C107" s="291" t="s">
        <v>1321</v>
      </c>
      <c r="D107" s="292"/>
      <c r="E107" s="293"/>
      <c r="F107" s="293"/>
      <c r="G107" s="293"/>
      <c r="H107" s="293"/>
      <c r="I107" s="293"/>
      <c r="J107" s="293"/>
      <c r="K107" s="73">
        <f t="shared" si="36"/>
        <v>0</v>
      </c>
      <c r="L107" s="73">
        <f t="shared" si="37"/>
        <v>0</v>
      </c>
      <c r="M107" s="74">
        <f t="shared" si="38"/>
        <v>0</v>
      </c>
      <c r="N107" s="74">
        <f t="shared" si="39"/>
        <v>0</v>
      </c>
      <c r="O107" s="285">
        <f t="shared" si="40"/>
        <v>0</v>
      </c>
      <c r="P107" s="286">
        <f t="shared" si="41"/>
        <v>0</v>
      </c>
      <c r="Q107" s="295">
        <f t="shared" si="42"/>
        <v>0</v>
      </c>
      <c r="R107" s="287">
        <f t="shared" si="43"/>
        <v>0</v>
      </c>
      <c r="S107" s="287">
        <f t="shared" si="44"/>
        <v>0</v>
      </c>
      <c r="T107" s="296" t="b">
        <v>0</v>
      </c>
    </row>
    <row r="108" spans="1:22" ht="15.75" customHeight="1" thickBot="1" x14ac:dyDescent="0.3">
      <c r="A108" s="297" t="s">
        <v>1322</v>
      </c>
      <c r="B108" s="298"/>
      <c r="C108" s="299" t="s">
        <v>1323</v>
      </c>
      <c r="D108" s="300"/>
      <c r="E108" s="301"/>
      <c r="F108" s="301"/>
      <c r="G108" s="301"/>
      <c r="H108" s="301"/>
      <c r="I108" s="301"/>
      <c r="J108" s="301"/>
      <c r="K108" s="76">
        <f t="shared" si="36"/>
        <v>0</v>
      </c>
      <c r="L108" s="73">
        <f t="shared" si="37"/>
        <v>0</v>
      </c>
      <c r="M108" s="74">
        <f t="shared" si="38"/>
        <v>0</v>
      </c>
      <c r="N108" s="74">
        <f t="shared" si="39"/>
        <v>0</v>
      </c>
      <c r="O108" s="285">
        <f t="shared" si="40"/>
        <v>0</v>
      </c>
      <c r="P108" s="286">
        <f t="shared" si="41"/>
        <v>0</v>
      </c>
      <c r="Q108" s="303">
        <f t="shared" si="42"/>
        <v>0</v>
      </c>
      <c r="R108" s="287">
        <f t="shared" si="43"/>
        <v>0</v>
      </c>
      <c r="S108" s="287">
        <f t="shared" si="44"/>
        <v>0</v>
      </c>
      <c r="T108" s="304" t="b">
        <v>0</v>
      </c>
    </row>
    <row r="109" spans="1:22" s="149" customFormat="1" ht="15.75" customHeight="1" thickBot="1" x14ac:dyDescent="0.3">
      <c r="A109" s="36" t="s">
        <v>1324</v>
      </c>
      <c r="B109" s="78"/>
      <c r="C109" s="37" t="s">
        <v>153</v>
      </c>
      <c r="D109" s="37"/>
      <c r="E109" s="37"/>
      <c r="F109" s="37">
        <f>SUBTOTAL(9,F99:F108)</f>
        <v>0</v>
      </c>
      <c r="G109" s="37">
        <f>SUBTOTAL(9,G99:G108)</f>
        <v>0</v>
      </c>
      <c r="H109" s="37"/>
      <c r="I109" s="37"/>
      <c r="J109" s="37"/>
      <c r="K109" s="37">
        <f>SUBTOTAL(9,K99:K108)</f>
        <v>0</v>
      </c>
      <c r="L109" s="37">
        <f>SUBTOTAL(9,L99:L108)</f>
        <v>0</v>
      </c>
      <c r="M109" s="79">
        <f>P109</f>
        <v>0</v>
      </c>
      <c r="N109" s="79">
        <f>Q109</f>
        <v>0</v>
      </c>
      <c r="O109" s="305">
        <f>SUBTOTAL(9,O99:O108)</f>
        <v>0</v>
      </c>
      <c r="P109" s="306">
        <f>SUBTOTAL(9,P99:P108)</f>
        <v>0</v>
      </c>
      <c r="Q109" s="306">
        <f>SUBTOTAL(9,Q99:Q108)</f>
        <v>0</v>
      </c>
      <c r="R109" s="307"/>
      <c r="S109" s="307"/>
      <c r="T109" s="308"/>
    </row>
    <row r="110" spans="1:22" ht="15.75" customHeight="1" thickTop="1" x14ac:dyDescent="0.25">
      <c r="A110" t="s">
        <v>1325</v>
      </c>
      <c r="O110"/>
      <c r="P110"/>
      <c r="U110" s="180"/>
      <c r="V110" s="180"/>
    </row>
    <row r="111" spans="1:22" x14ac:dyDescent="0.25">
      <c r="O111"/>
      <c r="P111"/>
      <c r="U111" s="180"/>
      <c r="V111" s="180"/>
    </row>
    <row r="112" spans="1:22" x14ac:dyDescent="0.25">
      <c r="B112" s="292" t="s">
        <v>1326</v>
      </c>
      <c r="O112"/>
      <c r="P112"/>
      <c r="U112" s="180"/>
      <c r="V112" s="180"/>
    </row>
    <row r="113" spans="1:20" x14ac:dyDescent="0.25">
      <c r="B113" s="294" t="s">
        <v>1327</v>
      </c>
      <c r="O113"/>
      <c r="P113"/>
      <c r="S113" s="180"/>
      <c r="T113" s="180"/>
    </row>
    <row r="114" spans="1:20" x14ac:dyDescent="0.25">
      <c r="B114" s="73" t="s">
        <v>1328</v>
      </c>
      <c r="N114" s="156"/>
      <c r="O114"/>
      <c r="P114"/>
      <c r="S114" s="180"/>
      <c r="T114" s="180"/>
    </row>
    <row r="115" spans="1:20" x14ac:dyDescent="0.25">
      <c r="N115" s="156"/>
      <c r="O115"/>
      <c r="P115"/>
      <c r="S115" s="180"/>
      <c r="T115" s="180"/>
    </row>
    <row r="116" spans="1:20" ht="15.75" customHeight="1" thickBot="1" x14ac:dyDescent="0.3">
      <c r="B116" s="38" t="s">
        <v>1329</v>
      </c>
      <c r="C116" s="38"/>
      <c r="O116"/>
      <c r="P116"/>
      <c r="S116" s="180"/>
      <c r="T116" s="180"/>
    </row>
    <row r="117" spans="1:20" x14ac:dyDescent="0.25">
      <c r="B117" t="s">
        <v>1330</v>
      </c>
      <c r="C117" s="309"/>
      <c r="O117"/>
      <c r="P117"/>
      <c r="S117" s="180"/>
      <c r="T117" s="180"/>
    </row>
    <row r="118" spans="1:20" x14ac:dyDescent="0.25">
      <c r="B118" t="s">
        <v>1331</v>
      </c>
      <c r="C118" s="310"/>
      <c r="O118"/>
      <c r="P118"/>
      <c r="S118" s="180"/>
      <c r="T118" s="180"/>
    </row>
    <row r="119" spans="1:20" x14ac:dyDescent="0.25">
      <c r="B119" t="s">
        <v>1332</v>
      </c>
      <c r="C119" s="311"/>
    </row>
    <row r="120" spans="1:20" ht="15.75" customHeight="1" thickBot="1" x14ac:dyDescent="0.3">
      <c r="O120"/>
      <c r="P120"/>
    </row>
    <row r="121" spans="1:20" ht="27.75" customHeight="1" thickTop="1" thickBot="1" x14ac:dyDescent="0.45">
      <c r="A121" s="39" t="s">
        <v>192</v>
      </c>
      <c r="B121" s="185" t="s">
        <v>1288</v>
      </c>
      <c r="O121"/>
      <c r="P121"/>
    </row>
    <row r="122" spans="1:20" s="162" customFormat="1" ht="65.25" customHeight="1" thickTop="1" thickBot="1" x14ac:dyDescent="0.25">
      <c r="A122" s="69" t="s">
        <v>91</v>
      </c>
      <c r="B122" s="70" t="s">
        <v>97</v>
      </c>
      <c r="C122" s="70" t="s">
        <v>1289</v>
      </c>
      <c r="D122" s="70" t="s">
        <v>1290</v>
      </c>
      <c r="E122" s="70" t="s">
        <v>1291</v>
      </c>
      <c r="F122" s="70" t="s">
        <v>217</v>
      </c>
      <c r="G122" s="70" t="s">
        <v>1292</v>
      </c>
      <c r="H122" s="71" t="s">
        <v>1297</v>
      </c>
      <c r="I122" s="71"/>
      <c r="J122" s="71" t="s">
        <v>1333</v>
      </c>
      <c r="K122" s="71" t="s">
        <v>1296</v>
      </c>
      <c r="L122" s="71" t="s">
        <v>1297</v>
      </c>
      <c r="M122" s="71" t="s">
        <v>225</v>
      </c>
      <c r="N122" s="71" t="s">
        <v>231</v>
      </c>
      <c r="O122" s="275" t="s">
        <v>1298</v>
      </c>
      <c r="P122" s="276" t="s">
        <v>1299</v>
      </c>
      <c r="Q122" s="276" t="s">
        <v>1300</v>
      </c>
      <c r="R122" s="277" t="s">
        <v>1301</v>
      </c>
      <c r="S122" s="277" t="s">
        <v>1302</v>
      </c>
      <c r="T122" s="278" t="s">
        <v>1303</v>
      </c>
    </row>
    <row r="123" spans="1:20" x14ac:dyDescent="0.25">
      <c r="A123" s="279" t="s">
        <v>1304</v>
      </c>
      <c r="B123" s="280"/>
      <c r="C123" s="281" t="s">
        <v>1305</v>
      </c>
      <c r="D123" s="282"/>
      <c r="E123" s="283"/>
      <c r="F123" s="283"/>
      <c r="G123" s="283"/>
      <c r="H123" s="283"/>
      <c r="I123" s="283"/>
      <c r="J123" s="284"/>
      <c r="K123" s="72">
        <f t="shared" ref="K123:K132" si="45">IF(T123=TRUE,F123,0)</f>
        <v>0</v>
      </c>
      <c r="L123" s="73">
        <f t="shared" ref="L123:L132" si="46">IF(T123=TRUE,S123-R123,0)</f>
        <v>0</v>
      </c>
      <c r="M123" s="74">
        <f t="shared" ref="M123:M132" si="47">IF(T123=TRUE,G123/F123,0)</f>
        <v>0</v>
      </c>
      <c r="N123" s="74">
        <f t="shared" ref="N123:N132" si="48">IF(T123=TRUE,(G123*100000)/(F123*L123*C$143),0)</f>
        <v>0</v>
      </c>
      <c r="O123" s="285">
        <f t="shared" ref="O123:O132" si="49">IF(T123=TRUE,K123/K$133,0)</f>
        <v>0</v>
      </c>
      <c r="P123" s="286">
        <f t="shared" ref="P123:P132" si="50">M123*O123</f>
        <v>0</v>
      </c>
      <c r="Q123" s="286">
        <f t="shared" ref="Q123:Q132" si="51">N123*O123</f>
        <v>0</v>
      </c>
      <c r="R123" s="287">
        <f t="shared" ref="R123:R132" si="52">IF(J123&gt;1,J123,C$141+C$142)</f>
        <v>0</v>
      </c>
      <c r="S123" s="287">
        <f t="shared" ref="S123:S132" si="53">IF(I123&gt;1,I123,C$141+H123)</f>
        <v>0</v>
      </c>
      <c r="T123" s="288" t="b">
        <v>0</v>
      </c>
    </row>
    <row r="124" spans="1:20" x14ac:dyDescent="0.25">
      <c r="A124" s="289" t="s">
        <v>1306</v>
      </c>
      <c r="B124" s="290"/>
      <c r="C124" s="291" t="s">
        <v>1307</v>
      </c>
      <c r="D124" s="292"/>
      <c r="E124" s="293"/>
      <c r="F124" s="293"/>
      <c r="G124" s="293"/>
      <c r="H124" s="293"/>
      <c r="I124" s="293"/>
      <c r="J124" s="293"/>
      <c r="K124" s="73">
        <f t="shared" si="45"/>
        <v>0</v>
      </c>
      <c r="L124" s="73">
        <f t="shared" si="46"/>
        <v>0</v>
      </c>
      <c r="M124" s="74">
        <f t="shared" si="47"/>
        <v>0</v>
      </c>
      <c r="N124" s="74">
        <f t="shared" si="48"/>
        <v>0</v>
      </c>
      <c r="O124" s="285">
        <f t="shared" si="49"/>
        <v>0</v>
      </c>
      <c r="P124" s="286">
        <f t="shared" si="50"/>
        <v>0</v>
      </c>
      <c r="Q124" s="295">
        <f t="shared" si="51"/>
        <v>0</v>
      </c>
      <c r="R124" s="287">
        <f t="shared" si="52"/>
        <v>0</v>
      </c>
      <c r="S124" s="287">
        <f t="shared" si="53"/>
        <v>0</v>
      </c>
      <c r="T124" s="296" t="b">
        <v>0</v>
      </c>
    </row>
    <row r="125" spans="1:20" x14ac:dyDescent="0.25">
      <c r="A125" s="289" t="s">
        <v>1308</v>
      </c>
      <c r="B125" s="290"/>
      <c r="C125" s="291" t="s">
        <v>1309</v>
      </c>
      <c r="D125" s="292"/>
      <c r="E125" s="293"/>
      <c r="F125" s="293"/>
      <c r="G125" s="293"/>
      <c r="H125" s="293"/>
      <c r="I125" s="293"/>
      <c r="J125" s="293"/>
      <c r="K125" s="73">
        <f t="shared" si="45"/>
        <v>0</v>
      </c>
      <c r="L125" s="73">
        <f t="shared" si="46"/>
        <v>0</v>
      </c>
      <c r="M125" s="74">
        <f t="shared" si="47"/>
        <v>0</v>
      </c>
      <c r="N125" s="74">
        <f t="shared" si="48"/>
        <v>0</v>
      </c>
      <c r="O125" s="285">
        <f t="shared" si="49"/>
        <v>0</v>
      </c>
      <c r="P125" s="286">
        <f t="shared" si="50"/>
        <v>0</v>
      </c>
      <c r="Q125" s="295">
        <f t="shared" si="51"/>
        <v>0</v>
      </c>
      <c r="R125" s="287">
        <f t="shared" si="52"/>
        <v>0</v>
      </c>
      <c r="S125" s="287">
        <f t="shared" si="53"/>
        <v>0</v>
      </c>
      <c r="T125" s="296" t="b">
        <v>0</v>
      </c>
    </row>
    <row r="126" spans="1:20" x14ac:dyDescent="0.25">
      <c r="A126" s="289" t="s">
        <v>1310</v>
      </c>
      <c r="B126" s="290"/>
      <c r="C126" s="291" t="s">
        <v>1311</v>
      </c>
      <c r="D126" s="292"/>
      <c r="E126" s="293"/>
      <c r="F126" s="293"/>
      <c r="G126" s="293"/>
      <c r="H126" s="293"/>
      <c r="I126" s="293"/>
      <c r="J126" s="293"/>
      <c r="K126" s="73">
        <f t="shared" si="45"/>
        <v>0</v>
      </c>
      <c r="L126" s="73">
        <f t="shared" si="46"/>
        <v>0</v>
      </c>
      <c r="M126" s="74">
        <f t="shared" si="47"/>
        <v>0</v>
      </c>
      <c r="N126" s="74">
        <f t="shared" si="48"/>
        <v>0</v>
      </c>
      <c r="O126" s="285">
        <f t="shared" si="49"/>
        <v>0</v>
      </c>
      <c r="P126" s="286">
        <f t="shared" si="50"/>
        <v>0</v>
      </c>
      <c r="Q126" s="295">
        <f t="shared" si="51"/>
        <v>0</v>
      </c>
      <c r="R126" s="287">
        <f t="shared" si="52"/>
        <v>0</v>
      </c>
      <c r="S126" s="287">
        <f t="shared" si="53"/>
        <v>0</v>
      </c>
      <c r="T126" s="296" t="b">
        <v>0</v>
      </c>
    </row>
    <row r="127" spans="1:20" x14ac:dyDescent="0.25">
      <c r="A127" s="289" t="s">
        <v>1312</v>
      </c>
      <c r="B127" s="290"/>
      <c r="C127" s="291" t="s">
        <v>1313</v>
      </c>
      <c r="D127" s="292"/>
      <c r="E127" s="293"/>
      <c r="F127" s="293"/>
      <c r="G127" s="293"/>
      <c r="H127" s="293"/>
      <c r="I127" s="293"/>
      <c r="J127" s="293"/>
      <c r="K127" s="73">
        <f t="shared" si="45"/>
        <v>0</v>
      </c>
      <c r="L127" s="73">
        <f t="shared" si="46"/>
        <v>0</v>
      </c>
      <c r="M127" s="74">
        <f t="shared" si="47"/>
        <v>0</v>
      </c>
      <c r="N127" s="74">
        <f t="shared" si="48"/>
        <v>0</v>
      </c>
      <c r="O127" s="285">
        <f t="shared" si="49"/>
        <v>0</v>
      </c>
      <c r="P127" s="286">
        <f t="shared" si="50"/>
        <v>0</v>
      </c>
      <c r="Q127" s="295">
        <f t="shared" si="51"/>
        <v>0</v>
      </c>
      <c r="R127" s="287">
        <f t="shared" si="52"/>
        <v>0</v>
      </c>
      <c r="S127" s="287">
        <f t="shared" si="53"/>
        <v>0</v>
      </c>
      <c r="T127" s="296" t="b">
        <v>0</v>
      </c>
    </row>
    <row r="128" spans="1:20" x14ac:dyDescent="0.25">
      <c r="A128" s="289" t="s">
        <v>1314</v>
      </c>
      <c r="B128" s="290"/>
      <c r="C128" s="291" t="s">
        <v>1315</v>
      </c>
      <c r="D128" s="292"/>
      <c r="E128" s="293"/>
      <c r="F128" s="293"/>
      <c r="G128" s="293"/>
      <c r="H128" s="293"/>
      <c r="I128" s="293"/>
      <c r="J128" s="293"/>
      <c r="K128" s="73">
        <f t="shared" si="45"/>
        <v>0</v>
      </c>
      <c r="L128" s="73">
        <f t="shared" si="46"/>
        <v>0</v>
      </c>
      <c r="M128" s="74">
        <f t="shared" si="47"/>
        <v>0</v>
      </c>
      <c r="N128" s="74">
        <f t="shared" si="48"/>
        <v>0</v>
      </c>
      <c r="O128" s="285">
        <f t="shared" si="49"/>
        <v>0</v>
      </c>
      <c r="P128" s="286">
        <f t="shared" si="50"/>
        <v>0</v>
      </c>
      <c r="Q128" s="295">
        <f t="shared" si="51"/>
        <v>0</v>
      </c>
      <c r="R128" s="287">
        <f t="shared" si="52"/>
        <v>0</v>
      </c>
      <c r="S128" s="287">
        <f t="shared" si="53"/>
        <v>0</v>
      </c>
      <c r="T128" s="296" t="b">
        <v>0</v>
      </c>
    </row>
    <row r="129" spans="1:22" x14ac:dyDescent="0.25">
      <c r="A129" s="289" t="s">
        <v>1316</v>
      </c>
      <c r="B129" s="290"/>
      <c r="C129" s="291" t="s">
        <v>1317</v>
      </c>
      <c r="D129" s="292"/>
      <c r="E129" s="293"/>
      <c r="F129" s="293"/>
      <c r="G129" s="293"/>
      <c r="H129" s="293"/>
      <c r="I129" s="293"/>
      <c r="J129" s="293"/>
      <c r="K129" s="73">
        <f t="shared" si="45"/>
        <v>0</v>
      </c>
      <c r="L129" s="73">
        <f t="shared" si="46"/>
        <v>0</v>
      </c>
      <c r="M129" s="74">
        <f t="shared" si="47"/>
        <v>0</v>
      </c>
      <c r="N129" s="74">
        <f t="shared" si="48"/>
        <v>0</v>
      </c>
      <c r="O129" s="285">
        <f t="shared" si="49"/>
        <v>0</v>
      </c>
      <c r="P129" s="286">
        <f t="shared" si="50"/>
        <v>0</v>
      </c>
      <c r="Q129" s="295">
        <f t="shared" si="51"/>
        <v>0</v>
      </c>
      <c r="R129" s="287">
        <f t="shared" si="52"/>
        <v>0</v>
      </c>
      <c r="S129" s="287">
        <f t="shared" si="53"/>
        <v>0</v>
      </c>
      <c r="T129" s="296" t="b">
        <v>0</v>
      </c>
    </row>
    <row r="130" spans="1:22" x14ac:dyDescent="0.25">
      <c r="A130" s="289" t="s">
        <v>1318</v>
      </c>
      <c r="B130" s="290"/>
      <c r="C130" s="291" t="s">
        <v>1319</v>
      </c>
      <c r="D130" s="292"/>
      <c r="E130" s="293"/>
      <c r="F130" s="293"/>
      <c r="G130" s="293"/>
      <c r="H130" s="293"/>
      <c r="I130" s="293"/>
      <c r="J130" s="293"/>
      <c r="K130" s="73">
        <f t="shared" si="45"/>
        <v>0</v>
      </c>
      <c r="L130" s="73">
        <f t="shared" si="46"/>
        <v>0</v>
      </c>
      <c r="M130" s="74">
        <f t="shared" si="47"/>
        <v>0</v>
      </c>
      <c r="N130" s="74">
        <f t="shared" si="48"/>
        <v>0</v>
      </c>
      <c r="O130" s="285">
        <f t="shared" si="49"/>
        <v>0</v>
      </c>
      <c r="P130" s="286">
        <f t="shared" si="50"/>
        <v>0</v>
      </c>
      <c r="Q130" s="295">
        <f t="shared" si="51"/>
        <v>0</v>
      </c>
      <c r="R130" s="287">
        <f t="shared" si="52"/>
        <v>0</v>
      </c>
      <c r="S130" s="287">
        <f t="shared" si="53"/>
        <v>0</v>
      </c>
      <c r="T130" s="296" t="b">
        <v>0</v>
      </c>
    </row>
    <row r="131" spans="1:22" x14ac:dyDescent="0.25">
      <c r="A131" s="289" t="s">
        <v>1320</v>
      </c>
      <c r="B131" s="290"/>
      <c r="C131" s="291" t="s">
        <v>1321</v>
      </c>
      <c r="D131" s="292"/>
      <c r="E131" s="293"/>
      <c r="F131" s="293"/>
      <c r="G131" s="293"/>
      <c r="H131" s="293"/>
      <c r="I131" s="293"/>
      <c r="J131" s="293"/>
      <c r="K131" s="73">
        <f t="shared" si="45"/>
        <v>0</v>
      </c>
      <c r="L131" s="73">
        <f t="shared" si="46"/>
        <v>0</v>
      </c>
      <c r="M131" s="74">
        <f t="shared" si="47"/>
        <v>0</v>
      </c>
      <c r="N131" s="74">
        <f t="shared" si="48"/>
        <v>0</v>
      </c>
      <c r="O131" s="285">
        <f t="shared" si="49"/>
        <v>0</v>
      </c>
      <c r="P131" s="286">
        <f t="shared" si="50"/>
        <v>0</v>
      </c>
      <c r="Q131" s="295">
        <f t="shared" si="51"/>
        <v>0</v>
      </c>
      <c r="R131" s="287">
        <f t="shared" si="52"/>
        <v>0</v>
      </c>
      <c r="S131" s="287">
        <f t="shared" si="53"/>
        <v>0</v>
      </c>
      <c r="T131" s="296" t="b">
        <v>0</v>
      </c>
    </row>
    <row r="132" spans="1:22" ht="15.75" customHeight="1" thickBot="1" x14ac:dyDescent="0.3">
      <c r="A132" s="297" t="s">
        <v>1322</v>
      </c>
      <c r="B132" s="298"/>
      <c r="C132" s="299" t="s">
        <v>1323</v>
      </c>
      <c r="D132" s="300"/>
      <c r="E132" s="301"/>
      <c r="F132" s="301"/>
      <c r="G132" s="301"/>
      <c r="H132" s="301"/>
      <c r="I132" s="301"/>
      <c r="J132" s="301"/>
      <c r="K132" s="76">
        <f t="shared" si="45"/>
        <v>0</v>
      </c>
      <c r="L132" s="73">
        <f t="shared" si="46"/>
        <v>0</v>
      </c>
      <c r="M132" s="74">
        <f t="shared" si="47"/>
        <v>0</v>
      </c>
      <c r="N132" s="74">
        <f t="shared" si="48"/>
        <v>0</v>
      </c>
      <c r="O132" s="285">
        <f t="shared" si="49"/>
        <v>0</v>
      </c>
      <c r="P132" s="286">
        <f t="shared" si="50"/>
        <v>0</v>
      </c>
      <c r="Q132" s="303">
        <f t="shared" si="51"/>
        <v>0</v>
      </c>
      <c r="R132" s="287">
        <f t="shared" si="52"/>
        <v>0</v>
      </c>
      <c r="S132" s="287">
        <f t="shared" si="53"/>
        <v>0</v>
      </c>
      <c r="T132" s="304" t="b">
        <v>0</v>
      </c>
    </row>
    <row r="133" spans="1:22" s="149" customFormat="1" ht="15.75" customHeight="1" thickBot="1" x14ac:dyDescent="0.3">
      <c r="A133" s="36" t="s">
        <v>1324</v>
      </c>
      <c r="B133" s="78"/>
      <c r="C133" s="37" t="s">
        <v>153</v>
      </c>
      <c r="D133" s="37"/>
      <c r="E133" s="37"/>
      <c r="F133" s="37">
        <f>SUBTOTAL(9,F123:F132)</f>
        <v>0</v>
      </c>
      <c r="G133" s="37">
        <f>SUBTOTAL(9,G123:G132)</f>
        <v>0</v>
      </c>
      <c r="H133" s="37"/>
      <c r="I133" s="37"/>
      <c r="J133" s="37"/>
      <c r="K133" s="37">
        <f>SUBTOTAL(9,K123:K132)</f>
        <v>0</v>
      </c>
      <c r="L133" s="37">
        <f>SUBTOTAL(9,L123:L132)</f>
        <v>0</v>
      </c>
      <c r="M133" s="79">
        <f>P133</f>
        <v>0</v>
      </c>
      <c r="N133" s="79">
        <f>Q133</f>
        <v>0</v>
      </c>
      <c r="O133" s="305">
        <f>SUBTOTAL(9,O123:O132)</f>
        <v>0</v>
      </c>
      <c r="P133" s="306">
        <f>SUBTOTAL(9,P123:P132)</f>
        <v>0</v>
      </c>
      <c r="Q133" s="306">
        <f>SUBTOTAL(9,Q123:Q132)</f>
        <v>0</v>
      </c>
      <c r="R133" s="307"/>
      <c r="S133" s="307"/>
      <c r="T133" s="308"/>
    </row>
    <row r="134" spans="1:22" ht="15.75" customHeight="1" thickTop="1" x14ac:dyDescent="0.25">
      <c r="A134" t="s">
        <v>1325</v>
      </c>
      <c r="O134"/>
      <c r="P134"/>
      <c r="U134" s="180"/>
      <c r="V134" s="180"/>
    </row>
    <row r="135" spans="1:22" x14ac:dyDescent="0.25">
      <c r="O135"/>
      <c r="P135"/>
      <c r="U135" s="180"/>
      <c r="V135" s="180"/>
    </row>
    <row r="136" spans="1:22" x14ac:dyDescent="0.25">
      <c r="B136" s="293" t="s">
        <v>1326</v>
      </c>
      <c r="O136"/>
      <c r="P136"/>
      <c r="U136" s="180"/>
      <c r="V136" s="180"/>
    </row>
    <row r="137" spans="1:22" x14ac:dyDescent="0.25">
      <c r="B137" s="294" t="s">
        <v>1327</v>
      </c>
      <c r="O137"/>
      <c r="P137"/>
      <c r="S137" s="180"/>
      <c r="T137" s="180"/>
    </row>
    <row r="138" spans="1:22" x14ac:dyDescent="0.25">
      <c r="B138" s="73" t="s">
        <v>1328</v>
      </c>
      <c r="N138" s="156"/>
      <c r="O138"/>
      <c r="P138"/>
      <c r="S138" s="180"/>
      <c r="T138" s="180"/>
    </row>
    <row r="139" spans="1:22" x14ac:dyDescent="0.25">
      <c r="N139" s="156"/>
      <c r="O139"/>
      <c r="P139"/>
      <c r="S139" s="180"/>
      <c r="T139" s="180"/>
    </row>
    <row r="140" spans="1:22" ht="15.75" customHeight="1" thickBot="1" x14ac:dyDescent="0.3">
      <c r="B140" s="38" t="s">
        <v>1329</v>
      </c>
      <c r="C140" s="38"/>
      <c r="O140"/>
      <c r="P140"/>
      <c r="S140" s="180"/>
      <c r="T140" s="180"/>
    </row>
    <row r="141" spans="1:22" x14ac:dyDescent="0.25">
      <c r="B141" t="s">
        <v>1330</v>
      </c>
      <c r="C141" s="309"/>
      <c r="O141"/>
      <c r="P141"/>
      <c r="S141" s="180"/>
      <c r="T141" s="180"/>
    </row>
    <row r="142" spans="1:22" x14ac:dyDescent="0.25">
      <c r="B142" t="s">
        <v>1331</v>
      </c>
      <c r="C142" s="310"/>
      <c r="O142"/>
      <c r="P142"/>
      <c r="S142" s="180"/>
      <c r="T142" s="180"/>
    </row>
    <row r="143" spans="1:22" x14ac:dyDescent="0.25">
      <c r="B143" t="s">
        <v>1332</v>
      </c>
      <c r="C143" s="311"/>
    </row>
  </sheetData>
  <sheetProtection algorithmName="SHA-512" hashValue="QS2qeJnGN/8mExvwyEWvvflNxmhRLUEE2gNKZRpCT0YTlNIbWvdxbY3uaDQtXRNNiqsjvmaYb9sZFP3UYsd4bw==" saltValue="GoWDdgPOolIKNbY1V9DwdQ==" spinCount="100000" sheet="1" objects="1"/>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12289" r:id="rId3" name="Check Box 1">
              <controlPr defaultSize="0" autoFill="0" autoLine="0" autoPict="0">
                <anchor moveWithCells="1">
                  <from>
                    <xdr:col>3</xdr:col>
                    <xdr:colOff>9525</xdr:colOff>
                    <xdr:row>2</xdr:row>
                    <xdr:rowOff>9525</xdr:rowOff>
                  </from>
                  <to>
                    <xdr:col>3</xdr:col>
                    <xdr:colOff>600075</xdr:colOff>
                    <xdr:row>3</xdr:row>
                    <xdr:rowOff>38100</xdr:rowOff>
                  </to>
                </anchor>
              </controlPr>
            </control>
          </mc:Choice>
        </mc:AlternateContent>
        <mc:AlternateContent xmlns:mc="http://schemas.openxmlformats.org/markup-compatibility/2006">
          <mc:Choice Requires="x14">
            <control shapeId="12290" r:id="rId4" name="Check Box 2">
              <controlPr defaultSize="0" autoFill="0" autoLine="0" autoPict="0">
                <anchor moveWithCells="1">
                  <from>
                    <xdr:col>3</xdr:col>
                    <xdr:colOff>9525</xdr:colOff>
                    <xdr:row>3</xdr:row>
                    <xdr:rowOff>9525</xdr:rowOff>
                  </from>
                  <to>
                    <xdr:col>3</xdr:col>
                    <xdr:colOff>600075</xdr:colOff>
                    <xdr:row>4</xdr:row>
                    <xdr:rowOff>38100</xdr:rowOff>
                  </to>
                </anchor>
              </controlPr>
            </control>
          </mc:Choice>
        </mc:AlternateContent>
        <mc:AlternateContent xmlns:mc="http://schemas.openxmlformats.org/markup-compatibility/2006">
          <mc:Choice Requires="x14">
            <control shapeId="12291" r:id="rId5" name="Check Box 3">
              <controlPr defaultSize="0" autoFill="0" autoLine="0" autoPict="0">
                <anchor moveWithCells="1">
                  <from>
                    <xdr:col>3</xdr:col>
                    <xdr:colOff>9525</xdr:colOff>
                    <xdr:row>4</xdr:row>
                    <xdr:rowOff>9525</xdr:rowOff>
                  </from>
                  <to>
                    <xdr:col>3</xdr:col>
                    <xdr:colOff>600075</xdr:colOff>
                    <xdr:row>5</xdr:row>
                    <xdr:rowOff>38100</xdr:rowOff>
                  </to>
                </anchor>
              </controlPr>
            </control>
          </mc:Choice>
        </mc:AlternateContent>
        <mc:AlternateContent xmlns:mc="http://schemas.openxmlformats.org/markup-compatibility/2006">
          <mc:Choice Requires="x14">
            <control shapeId="12292" r:id="rId6" name="Check Box 4">
              <controlPr defaultSize="0" autoFill="0" autoLine="0" autoPict="0">
                <anchor moveWithCells="1">
                  <from>
                    <xdr:col>3</xdr:col>
                    <xdr:colOff>9525</xdr:colOff>
                    <xdr:row>5</xdr:row>
                    <xdr:rowOff>9525</xdr:rowOff>
                  </from>
                  <to>
                    <xdr:col>3</xdr:col>
                    <xdr:colOff>600075</xdr:colOff>
                    <xdr:row>6</xdr:row>
                    <xdr:rowOff>38100</xdr:rowOff>
                  </to>
                </anchor>
              </controlPr>
            </control>
          </mc:Choice>
        </mc:AlternateContent>
        <mc:AlternateContent xmlns:mc="http://schemas.openxmlformats.org/markup-compatibility/2006">
          <mc:Choice Requires="x14">
            <control shapeId="12293" r:id="rId7" name="Check Box 5">
              <controlPr defaultSize="0" autoFill="0" autoLine="0" autoPict="0">
                <anchor moveWithCells="1">
                  <from>
                    <xdr:col>3</xdr:col>
                    <xdr:colOff>9525</xdr:colOff>
                    <xdr:row>6</xdr:row>
                    <xdr:rowOff>9525</xdr:rowOff>
                  </from>
                  <to>
                    <xdr:col>3</xdr:col>
                    <xdr:colOff>600075</xdr:colOff>
                    <xdr:row>7</xdr:row>
                    <xdr:rowOff>38100</xdr:rowOff>
                  </to>
                </anchor>
              </controlPr>
            </control>
          </mc:Choice>
        </mc:AlternateContent>
        <mc:AlternateContent xmlns:mc="http://schemas.openxmlformats.org/markup-compatibility/2006">
          <mc:Choice Requires="x14">
            <control shapeId="12294" r:id="rId8" name="Check Box 6">
              <controlPr defaultSize="0" autoFill="0" autoLine="0" autoPict="0">
                <anchor moveWithCells="1">
                  <from>
                    <xdr:col>3</xdr:col>
                    <xdr:colOff>9525</xdr:colOff>
                    <xdr:row>7</xdr:row>
                    <xdr:rowOff>9525</xdr:rowOff>
                  </from>
                  <to>
                    <xdr:col>3</xdr:col>
                    <xdr:colOff>600075</xdr:colOff>
                    <xdr:row>8</xdr:row>
                    <xdr:rowOff>38100</xdr:rowOff>
                  </to>
                </anchor>
              </controlPr>
            </control>
          </mc:Choice>
        </mc:AlternateContent>
        <mc:AlternateContent xmlns:mc="http://schemas.openxmlformats.org/markup-compatibility/2006">
          <mc:Choice Requires="x14">
            <control shapeId="12295" r:id="rId9" name="Check Box 7">
              <controlPr defaultSize="0" autoFill="0" autoLine="0" autoPict="0">
                <anchor moveWithCells="1">
                  <from>
                    <xdr:col>3</xdr:col>
                    <xdr:colOff>9525</xdr:colOff>
                    <xdr:row>8</xdr:row>
                    <xdr:rowOff>9525</xdr:rowOff>
                  </from>
                  <to>
                    <xdr:col>3</xdr:col>
                    <xdr:colOff>600075</xdr:colOff>
                    <xdr:row>9</xdr:row>
                    <xdr:rowOff>38100</xdr:rowOff>
                  </to>
                </anchor>
              </controlPr>
            </control>
          </mc:Choice>
        </mc:AlternateContent>
        <mc:AlternateContent xmlns:mc="http://schemas.openxmlformats.org/markup-compatibility/2006">
          <mc:Choice Requires="x14">
            <control shapeId="12296" r:id="rId10" name="Check Box 8">
              <controlPr defaultSize="0" autoFill="0" autoLine="0" autoPict="0">
                <anchor moveWithCells="1">
                  <from>
                    <xdr:col>3</xdr:col>
                    <xdr:colOff>9525</xdr:colOff>
                    <xdr:row>8</xdr:row>
                    <xdr:rowOff>9525</xdr:rowOff>
                  </from>
                  <to>
                    <xdr:col>3</xdr:col>
                    <xdr:colOff>600075</xdr:colOff>
                    <xdr:row>9</xdr:row>
                    <xdr:rowOff>38100</xdr:rowOff>
                  </to>
                </anchor>
              </controlPr>
            </control>
          </mc:Choice>
        </mc:AlternateContent>
        <mc:AlternateContent xmlns:mc="http://schemas.openxmlformats.org/markup-compatibility/2006">
          <mc:Choice Requires="x14">
            <control shapeId="12297" r:id="rId11" name="Check Box 9">
              <controlPr defaultSize="0" autoFill="0" autoLine="0" autoPict="0">
                <anchor moveWithCells="1">
                  <from>
                    <xdr:col>3</xdr:col>
                    <xdr:colOff>9525</xdr:colOff>
                    <xdr:row>9</xdr:row>
                    <xdr:rowOff>9525</xdr:rowOff>
                  </from>
                  <to>
                    <xdr:col>3</xdr:col>
                    <xdr:colOff>600075</xdr:colOff>
                    <xdr:row>10</xdr:row>
                    <xdr:rowOff>38100</xdr:rowOff>
                  </to>
                </anchor>
              </controlPr>
            </control>
          </mc:Choice>
        </mc:AlternateContent>
        <mc:AlternateContent xmlns:mc="http://schemas.openxmlformats.org/markup-compatibility/2006">
          <mc:Choice Requires="x14">
            <control shapeId="12298" r:id="rId12" name="Check Box 10">
              <controlPr defaultSize="0" autoFill="0" autoLine="0" autoPict="0">
                <anchor moveWithCells="1">
                  <from>
                    <xdr:col>3</xdr:col>
                    <xdr:colOff>9525</xdr:colOff>
                    <xdr:row>9</xdr:row>
                    <xdr:rowOff>9525</xdr:rowOff>
                  </from>
                  <to>
                    <xdr:col>3</xdr:col>
                    <xdr:colOff>600075</xdr:colOff>
                    <xdr:row>10</xdr:row>
                    <xdr:rowOff>38100</xdr:rowOff>
                  </to>
                </anchor>
              </controlPr>
            </control>
          </mc:Choice>
        </mc:AlternateContent>
        <mc:AlternateContent xmlns:mc="http://schemas.openxmlformats.org/markup-compatibility/2006">
          <mc:Choice Requires="x14">
            <control shapeId="12299" r:id="rId13" name="Check Box 11">
              <controlPr defaultSize="0" autoFill="0" autoLine="0" autoPict="0">
                <anchor moveWithCells="1">
                  <from>
                    <xdr:col>3</xdr:col>
                    <xdr:colOff>9525</xdr:colOff>
                    <xdr:row>10</xdr:row>
                    <xdr:rowOff>9525</xdr:rowOff>
                  </from>
                  <to>
                    <xdr:col>3</xdr:col>
                    <xdr:colOff>600075</xdr:colOff>
                    <xdr:row>11</xdr:row>
                    <xdr:rowOff>38100</xdr:rowOff>
                  </to>
                </anchor>
              </controlPr>
            </control>
          </mc:Choice>
        </mc:AlternateContent>
        <mc:AlternateContent xmlns:mc="http://schemas.openxmlformats.org/markup-compatibility/2006">
          <mc:Choice Requires="x14">
            <control shapeId="12300" r:id="rId14" name="Check Box 12">
              <controlPr defaultSize="0" autoFill="0" autoLine="0" autoPict="0">
                <anchor moveWithCells="1">
                  <from>
                    <xdr:col>3</xdr:col>
                    <xdr:colOff>9525</xdr:colOff>
                    <xdr:row>10</xdr:row>
                    <xdr:rowOff>9525</xdr:rowOff>
                  </from>
                  <to>
                    <xdr:col>3</xdr:col>
                    <xdr:colOff>600075</xdr:colOff>
                    <xdr:row>11</xdr:row>
                    <xdr:rowOff>38100</xdr:rowOff>
                  </to>
                </anchor>
              </controlPr>
            </control>
          </mc:Choice>
        </mc:AlternateContent>
        <mc:AlternateContent xmlns:mc="http://schemas.openxmlformats.org/markup-compatibility/2006">
          <mc:Choice Requires="x14">
            <control shapeId="12301" r:id="rId15" name="Check Box 13">
              <controlPr defaultSize="0" autoFill="0" autoLine="0" autoPict="0">
                <anchor moveWithCells="1">
                  <from>
                    <xdr:col>3</xdr:col>
                    <xdr:colOff>9525</xdr:colOff>
                    <xdr:row>10</xdr:row>
                    <xdr:rowOff>9525</xdr:rowOff>
                  </from>
                  <to>
                    <xdr:col>3</xdr:col>
                    <xdr:colOff>600075</xdr:colOff>
                    <xdr:row>11</xdr:row>
                    <xdr:rowOff>38100</xdr:rowOff>
                  </to>
                </anchor>
              </controlPr>
            </control>
          </mc:Choice>
        </mc:AlternateContent>
        <mc:AlternateContent xmlns:mc="http://schemas.openxmlformats.org/markup-compatibility/2006">
          <mc:Choice Requires="x14">
            <control shapeId="12302" r:id="rId16" name="Check Box 14">
              <controlPr defaultSize="0" autoFill="0" autoLine="0" autoPict="0">
                <anchor moveWithCells="1">
                  <from>
                    <xdr:col>3</xdr:col>
                    <xdr:colOff>9525</xdr:colOff>
                    <xdr:row>11</xdr:row>
                    <xdr:rowOff>9525</xdr:rowOff>
                  </from>
                  <to>
                    <xdr:col>3</xdr:col>
                    <xdr:colOff>600075</xdr:colOff>
                    <xdr:row>12</xdr:row>
                    <xdr:rowOff>28575</xdr:rowOff>
                  </to>
                </anchor>
              </controlPr>
            </control>
          </mc:Choice>
        </mc:AlternateContent>
        <mc:AlternateContent xmlns:mc="http://schemas.openxmlformats.org/markup-compatibility/2006">
          <mc:Choice Requires="x14">
            <control shapeId="12303" r:id="rId17" name="Check Box 15">
              <controlPr defaultSize="0" autoFill="0" autoLine="0" autoPict="0">
                <anchor moveWithCells="1">
                  <from>
                    <xdr:col>3</xdr:col>
                    <xdr:colOff>9525</xdr:colOff>
                    <xdr:row>11</xdr:row>
                    <xdr:rowOff>9525</xdr:rowOff>
                  </from>
                  <to>
                    <xdr:col>3</xdr:col>
                    <xdr:colOff>600075</xdr:colOff>
                    <xdr:row>12</xdr:row>
                    <xdr:rowOff>28575</xdr:rowOff>
                  </to>
                </anchor>
              </controlPr>
            </control>
          </mc:Choice>
        </mc:AlternateContent>
        <mc:AlternateContent xmlns:mc="http://schemas.openxmlformats.org/markup-compatibility/2006">
          <mc:Choice Requires="x14">
            <control shapeId="12304" r:id="rId18" name="Check Box 16">
              <controlPr defaultSize="0" autoFill="0" autoLine="0" autoPict="0">
                <anchor moveWithCells="1">
                  <from>
                    <xdr:col>3</xdr:col>
                    <xdr:colOff>9525</xdr:colOff>
                    <xdr:row>26</xdr:row>
                    <xdr:rowOff>9525</xdr:rowOff>
                  </from>
                  <to>
                    <xdr:col>3</xdr:col>
                    <xdr:colOff>600075</xdr:colOff>
                    <xdr:row>27</xdr:row>
                    <xdr:rowOff>38100</xdr:rowOff>
                  </to>
                </anchor>
              </controlPr>
            </control>
          </mc:Choice>
        </mc:AlternateContent>
        <mc:AlternateContent xmlns:mc="http://schemas.openxmlformats.org/markup-compatibility/2006">
          <mc:Choice Requires="x14">
            <control shapeId="12305" r:id="rId19" name="Check Box 17">
              <controlPr defaultSize="0" autoFill="0" autoLine="0" autoPict="0">
                <anchor moveWithCells="1">
                  <from>
                    <xdr:col>3</xdr:col>
                    <xdr:colOff>9525</xdr:colOff>
                    <xdr:row>27</xdr:row>
                    <xdr:rowOff>9525</xdr:rowOff>
                  </from>
                  <to>
                    <xdr:col>3</xdr:col>
                    <xdr:colOff>600075</xdr:colOff>
                    <xdr:row>28</xdr:row>
                    <xdr:rowOff>38100</xdr:rowOff>
                  </to>
                </anchor>
              </controlPr>
            </control>
          </mc:Choice>
        </mc:AlternateContent>
        <mc:AlternateContent xmlns:mc="http://schemas.openxmlformats.org/markup-compatibility/2006">
          <mc:Choice Requires="x14">
            <control shapeId="12306" r:id="rId20" name="Check Box 18">
              <controlPr defaultSize="0" autoFill="0" autoLine="0" autoPict="0">
                <anchor moveWithCells="1">
                  <from>
                    <xdr:col>3</xdr:col>
                    <xdr:colOff>9525</xdr:colOff>
                    <xdr:row>28</xdr:row>
                    <xdr:rowOff>9525</xdr:rowOff>
                  </from>
                  <to>
                    <xdr:col>3</xdr:col>
                    <xdr:colOff>600075</xdr:colOff>
                    <xdr:row>29</xdr:row>
                    <xdr:rowOff>38100</xdr:rowOff>
                  </to>
                </anchor>
              </controlPr>
            </control>
          </mc:Choice>
        </mc:AlternateContent>
        <mc:AlternateContent xmlns:mc="http://schemas.openxmlformats.org/markup-compatibility/2006">
          <mc:Choice Requires="x14">
            <control shapeId="12307" r:id="rId21" name="Check Box 19">
              <controlPr defaultSize="0" autoFill="0" autoLine="0" autoPict="0">
                <anchor moveWithCells="1">
                  <from>
                    <xdr:col>3</xdr:col>
                    <xdr:colOff>9525</xdr:colOff>
                    <xdr:row>29</xdr:row>
                    <xdr:rowOff>9525</xdr:rowOff>
                  </from>
                  <to>
                    <xdr:col>3</xdr:col>
                    <xdr:colOff>600075</xdr:colOff>
                    <xdr:row>30</xdr:row>
                    <xdr:rowOff>38100</xdr:rowOff>
                  </to>
                </anchor>
              </controlPr>
            </control>
          </mc:Choice>
        </mc:AlternateContent>
        <mc:AlternateContent xmlns:mc="http://schemas.openxmlformats.org/markup-compatibility/2006">
          <mc:Choice Requires="x14">
            <control shapeId="12308" r:id="rId22" name="Check Box 20">
              <controlPr defaultSize="0" autoFill="0" autoLine="0" autoPict="0">
                <anchor moveWithCells="1">
                  <from>
                    <xdr:col>3</xdr:col>
                    <xdr:colOff>9525</xdr:colOff>
                    <xdr:row>30</xdr:row>
                    <xdr:rowOff>9525</xdr:rowOff>
                  </from>
                  <to>
                    <xdr:col>3</xdr:col>
                    <xdr:colOff>600075</xdr:colOff>
                    <xdr:row>31</xdr:row>
                    <xdr:rowOff>38100</xdr:rowOff>
                  </to>
                </anchor>
              </controlPr>
            </control>
          </mc:Choice>
        </mc:AlternateContent>
        <mc:AlternateContent xmlns:mc="http://schemas.openxmlformats.org/markup-compatibility/2006">
          <mc:Choice Requires="x14">
            <control shapeId="12309" r:id="rId23" name="Check Box 21">
              <controlPr defaultSize="0" autoFill="0" autoLine="0" autoPict="0">
                <anchor moveWithCells="1">
                  <from>
                    <xdr:col>3</xdr:col>
                    <xdr:colOff>9525</xdr:colOff>
                    <xdr:row>31</xdr:row>
                    <xdr:rowOff>9525</xdr:rowOff>
                  </from>
                  <to>
                    <xdr:col>3</xdr:col>
                    <xdr:colOff>600075</xdr:colOff>
                    <xdr:row>32</xdr:row>
                    <xdr:rowOff>38100</xdr:rowOff>
                  </to>
                </anchor>
              </controlPr>
            </control>
          </mc:Choice>
        </mc:AlternateContent>
        <mc:AlternateContent xmlns:mc="http://schemas.openxmlformats.org/markup-compatibility/2006">
          <mc:Choice Requires="x14">
            <control shapeId="12310" r:id="rId24" name="Check Box 22">
              <controlPr defaultSize="0" autoFill="0" autoLine="0" autoPict="0">
                <anchor moveWithCells="1">
                  <from>
                    <xdr:col>3</xdr:col>
                    <xdr:colOff>9525</xdr:colOff>
                    <xdr:row>32</xdr:row>
                    <xdr:rowOff>9525</xdr:rowOff>
                  </from>
                  <to>
                    <xdr:col>3</xdr:col>
                    <xdr:colOff>600075</xdr:colOff>
                    <xdr:row>33</xdr:row>
                    <xdr:rowOff>38100</xdr:rowOff>
                  </to>
                </anchor>
              </controlPr>
            </control>
          </mc:Choice>
        </mc:AlternateContent>
        <mc:AlternateContent xmlns:mc="http://schemas.openxmlformats.org/markup-compatibility/2006">
          <mc:Choice Requires="x14">
            <control shapeId="12311" r:id="rId25" name="Check Box 23">
              <controlPr defaultSize="0" autoFill="0" autoLine="0" autoPict="0">
                <anchor moveWithCells="1">
                  <from>
                    <xdr:col>3</xdr:col>
                    <xdr:colOff>9525</xdr:colOff>
                    <xdr:row>32</xdr:row>
                    <xdr:rowOff>9525</xdr:rowOff>
                  </from>
                  <to>
                    <xdr:col>3</xdr:col>
                    <xdr:colOff>600075</xdr:colOff>
                    <xdr:row>33</xdr:row>
                    <xdr:rowOff>38100</xdr:rowOff>
                  </to>
                </anchor>
              </controlPr>
            </control>
          </mc:Choice>
        </mc:AlternateContent>
        <mc:AlternateContent xmlns:mc="http://schemas.openxmlformats.org/markup-compatibility/2006">
          <mc:Choice Requires="x14">
            <control shapeId="12312" r:id="rId26" name="Check Box 24">
              <controlPr defaultSize="0" autoFill="0" autoLine="0" autoPict="0">
                <anchor moveWithCells="1">
                  <from>
                    <xdr:col>3</xdr:col>
                    <xdr:colOff>9525</xdr:colOff>
                    <xdr:row>33</xdr:row>
                    <xdr:rowOff>9525</xdr:rowOff>
                  </from>
                  <to>
                    <xdr:col>3</xdr:col>
                    <xdr:colOff>600075</xdr:colOff>
                    <xdr:row>34</xdr:row>
                    <xdr:rowOff>38100</xdr:rowOff>
                  </to>
                </anchor>
              </controlPr>
            </control>
          </mc:Choice>
        </mc:AlternateContent>
        <mc:AlternateContent xmlns:mc="http://schemas.openxmlformats.org/markup-compatibility/2006">
          <mc:Choice Requires="x14">
            <control shapeId="12313" r:id="rId27" name="Check Box 25">
              <controlPr defaultSize="0" autoFill="0" autoLine="0" autoPict="0">
                <anchor moveWithCells="1">
                  <from>
                    <xdr:col>3</xdr:col>
                    <xdr:colOff>9525</xdr:colOff>
                    <xdr:row>33</xdr:row>
                    <xdr:rowOff>9525</xdr:rowOff>
                  </from>
                  <to>
                    <xdr:col>3</xdr:col>
                    <xdr:colOff>600075</xdr:colOff>
                    <xdr:row>34</xdr:row>
                    <xdr:rowOff>38100</xdr:rowOff>
                  </to>
                </anchor>
              </controlPr>
            </control>
          </mc:Choice>
        </mc:AlternateContent>
        <mc:AlternateContent xmlns:mc="http://schemas.openxmlformats.org/markup-compatibility/2006">
          <mc:Choice Requires="x14">
            <control shapeId="12314" r:id="rId28" name="Check Box 26">
              <controlPr defaultSize="0" autoFill="0" autoLine="0" autoPict="0">
                <anchor moveWithCells="1">
                  <from>
                    <xdr:col>3</xdr:col>
                    <xdr:colOff>9525</xdr:colOff>
                    <xdr:row>34</xdr:row>
                    <xdr:rowOff>9525</xdr:rowOff>
                  </from>
                  <to>
                    <xdr:col>3</xdr:col>
                    <xdr:colOff>600075</xdr:colOff>
                    <xdr:row>35</xdr:row>
                    <xdr:rowOff>38100</xdr:rowOff>
                  </to>
                </anchor>
              </controlPr>
            </control>
          </mc:Choice>
        </mc:AlternateContent>
        <mc:AlternateContent xmlns:mc="http://schemas.openxmlformats.org/markup-compatibility/2006">
          <mc:Choice Requires="x14">
            <control shapeId="12315" r:id="rId29" name="Check Box 27">
              <controlPr defaultSize="0" autoFill="0" autoLine="0" autoPict="0">
                <anchor moveWithCells="1">
                  <from>
                    <xdr:col>3</xdr:col>
                    <xdr:colOff>9525</xdr:colOff>
                    <xdr:row>34</xdr:row>
                    <xdr:rowOff>9525</xdr:rowOff>
                  </from>
                  <to>
                    <xdr:col>3</xdr:col>
                    <xdr:colOff>600075</xdr:colOff>
                    <xdr:row>35</xdr:row>
                    <xdr:rowOff>38100</xdr:rowOff>
                  </to>
                </anchor>
              </controlPr>
            </control>
          </mc:Choice>
        </mc:AlternateContent>
        <mc:AlternateContent xmlns:mc="http://schemas.openxmlformats.org/markup-compatibility/2006">
          <mc:Choice Requires="x14">
            <control shapeId="12316" r:id="rId30" name="Check Box 28">
              <controlPr defaultSize="0" autoFill="0" autoLine="0" autoPict="0">
                <anchor moveWithCells="1">
                  <from>
                    <xdr:col>3</xdr:col>
                    <xdr:colOff>9525</xdr:colOff>
                    <xdr:row>34</xdr:row>
                    <xdr:rowOff>9525</xdr:rowOff>
                  </from>
                  <to>
                    <xdr:col>3</xdr:col>
                    <xdr:colOff>600075</xdr:colOff>
                    <xdr:row>35</xdr:row>
                    <xdr:rowOff>38100</xdr:rowOff>
                  </to>
                </anchor>
              </controlPr>
            </control>
          </mc:Choice>
        </mc:AlternateContent>
        <mc:AlternateContent xmlns:mc="http://schemas.openxmlformats.org/markup-compatibility/2006">
          <mc:Choice Requires="x14">
            <control shapeId="12317" r:id="rId31" name="Check Box 29">
              <controlPr defaultSize="0" autoFill="0" autoLine="0" autoPict="0">
                <anchor moveWithCells="1">
                  <from>
                    <xdr:col>3</xdr:col>
                    <xdr:colOff>9525</xdr:colOff>
                    <xdr:row>35</xdr:row>
                    <xdr:rowOff>9525</xdr:rowOff>
                  </from>
                  <to>
                    <xdr:col>3</xdr:col>
                    <xdr:colOff>600075</xdr:colOff>
                    <xdr:row>36</xdr:row>
                    <xdr:rowOff>28575</xdr:rowOff>
                  </to>
                </anchor>
              </controlPr>
            </control>
          </mc:Choice>
        </mc:AlternateContent>
        <mc:AlternateContent xmlns:mc="http://schemas.openxmlformats.org/markup-compatibility/2006">
          <mc:Choice Requires="x14">
            <control shapeId="12318" r:id="rId32" name="Check Box 30">
              <controlPr defaultSize="0" autoFill="0" autoLine="0" autoPict="0">
                <anchor moveWithCells="1">
                  <from>
                    <xdr:col>3</xdr:col>
                    <xdr:colOff>9525</xdr:colOff>
                    <xdr:row>35</xdr:row>
                    <xdr:rowOff>9525</xdr:rowOff>
                  </from>
                  <to>
                    <xdr:col>3</xdr:col>
                    <xdr:colOff>600075</xdr:colOff>
                    <xdr:row>36</xdr:row>
                    <xdr:rowOff>28575</xdr:rowOff>
                  </to>
                </anchor>
              </controlPr>
            </control>
          </mc:Choice>
        </mc:AlternateContent>
        <mc:AlternateContent xmlns:mc="http://schemas.openxmlformats.org/markup-compatibility/2006">
          <mc:Choice Requires="x14">
            <control shapeId="12319" r:id="rId33" name="Check Box 31">
              <controlPr defaultSize="0" autoFill="0" autoLine="0" autoPict="0">
                <anchor moveWithCells="1">
                  <from>
                    <xdr:col>3</xdr:col>
                    <xdr:colOff>9525</xdr:colOff>
                    <xdr:row>50</xdr:row>
                    <xdr:rowOff>9525</xdr:rowOff>
                  </from>
                  <to>
                    <xdr:col>3</xdr:col>
                    <xdr:colOff>600075</xdr:colOff>
                    <xdr:row>51</xdr:row>
                    <xdr:rowOff>38100</xdr:rowOff>
                  </to>
                </anchor>
              </controlPr>
            </control>
          </mc:Choice>
        </mc:AlternateContent>
        <mc:AlternateContent xmlns:mc="http://schemas.openxmlformats.org/markup-compatibility/2006">
          <mc:Choice Requires="x14">
            <control shapeId="12320" r:id="rId34" name="Check Box 32">
              <controlPr defaultSize="0" autoFill="0" autoLine="0" autoPict="0">
                <anchor moveWithCells="1">
                  <from>
                    <xdr:col>3</xdr:col>
                    <xdr:colOff>9525</xdr:colOff>
                    <xdr:row>51</xdr:row>
                    <xdr:rowOff>9525</xdr:rowOff>
                  </from>
                  <to>
                    <xdr:col>3</xdr:col>
                    <xdr:colOff>600075</xdr:colOff>
                    <xdr:row>52</xdr:row>
                    <xdr:rowOff>38100</xdr:rowOff>
                  </to>
                </anchor>
              </controlPr>
            </control>
          </mc:Choice>
        </mc:AlternateContent>
        <mc:AlternateContent xmlns:mc="http://schemas.openxmlformats.org/markup-compatibility/2006">
          <mc:Choice Requires="x14">
            <control shapeId="12321" r:id="rId35" name="Check Box 33">
              <controlPr defaultSize="0" autoFill="0" autoLine="0" autoPict="0">
                <anchor moveWithCells="1">
                  <from>
                    <xdr:col>3</xdr:col>
                    <xdr:colOff>9525</xdr:colOff>
                    <xdr:row>52</xdr:row>
                    <xdr:rowOff>9525</xdr:rowOff>
                  </from>
                  <to>
                    <xdr:col>3</xdr:col>
                    <xdr:colOff>600075</xdr:colOff>
                    <xdr:row>53</xdr:row>
                    <xdr:rowOff>38100</xdr:rowOff>
                  </to>
                </anchor>
              </controlPr>
            </control>
          </mc:Choice>
        </mc:AlternateContent>
        <mc:AlternateContent xmlns:mc="http://schemas.openxmlformats.org/markup-compatibility/2006">
          <mc:Choice Requires="x14">
            <control shapeId="12322" r:id="rId36" name="Check Box 34">
              <controlPr defaultSize="0" autoFill="0" autoLine="0" autoPict="0">
                <anchor moveWithCells="1">
                  <from>
                    <xdr:col>3</xdr:col>
                    <xdr:colOff>9525</xdr:colOff>
                    <xdr:row>53</xdr:row>
                    <xdr:rowOff>9525</xdr:rowOff>
                  </from>
                  <to>
                    <xdr:col>3</xdr:col>
                    <xdr:colOff>600075</xdr:colOff>
                    <xdr:row>54</xdr:row>
                    <xdr:rowOff>38100</xdr:rowOff>
                  </to>
                </anchor>
              </controlPr>
            </control>
          </mc:Choice>
        </mc:AlternateContent>
        <mc:AlternateContent xmlns:mc="http://schemas.openxmlformats.org/markup-compatibility/2006">
          <mc:Choice Requires="x14">
            <control shapeId="12323" r:id="rId37" name="Check Box 35">
              <controlPr defaultSize="0" autoFill="0" autoLine="0" autoPict="0">
                <anchor moveWithCells="1">
                  <from>
                    <xdr:col>3</xdr:col>
                    <xdr:colOff>9525</xdr:colOff>
                    <xdr:row>54</xdr:row>
                    <xdr:rowOff>9525</xdr:rowOff>
                  </from>
                  <to>
                    <xdr:col>3</xdr:col>
                    <xdr:colOff>600075</xdr:colOff>
                    <xdr:row>55</xdr:row>
                    <xdr:rowOff>38100</xdr:rowOff>
                  </to>
                </anchor>
              </controlPr>
            </control>
          </mc:Choice>
        </mc:AlternateContent>
        <mc:AlternateContent xmlns:mc="http://schemas.openxmlformats.org/markup-compatibility/2006">
          <mc:Choice Requires="x14">
            <control shapeId="12324" r:id="rId38" name="Check Box 36">
              <controlPr defaultSize="0" autoFill="0" autoLine="0" autoPict="0">
                <anchor moveWithCells="1">
                  <from>
                    <xdr:col>3</xdr:col>
                    <xdr:colOff>9525</xdr:colOff>
                    <xdr:row>55</xdr:row>
                    <xdr:rowOff>9525</xdr:rowOff>
                  </from>
                  <to>
                    <xdr:col>3</xdr:col>
                    <xdr:colOff>600075</xdr:colOff>
                    <xdr:row>56</xdr:row>
                    <xdr:rowOff>38100</xdr:rowOff>
                  </to>
                </anchor>
              </controlPr>
            </control>
          </mc:Choice>
        </mc:AlternateContent>
        <mc:AlternateContent xmlns:mc="http://schemas.openxmlformats.org/markup-compatibility/2006">
          <mc:Choice Requires="x14">
            <control shapeId="12325" r:id="rId39" name="Check Box 37">
              <controlPr defaultSize="0" autoFill="0" autoLine="0" autoPict="0">
                <anchor moveWithCells="1">
                  <from>
                    <xdr:col>3</xdr:col>
                    <xdr:colOff>9525</xdr:colOff>
                    <xdr:row>56</xdr:row>
                    <xdr:rowOff>9525</xdr:rowOff>
                  </from>
                  <to>
                    <xdr:col>3</xdr:col>
                    <xdr:colOff>600075</xdr:colOff>
                    <xdr:row>57</xdr:row>
                    <xdr:rowOff>38100</xdr:rowOff>
                  </to>
                </anchor>
              </controlPr>
            </control>
          </mc:Choice>
        </mc:AlternateContent>
        <mc:AlternateContent xmlns:mc="http://schemas.openxmlformats.org/markup-compatibility/2006">
          <mc:Choice Requires="x14">
            <control shapeId="12326" r:id="rId40" name="Check Box 38">
              <controlPr defaultSize="0" autoFill="0" autoLine="0" autoPict="0">
                <anchor moveWithCells="1">
                  <from>
                    <xdr:col>3</xdr:col>
                    <xdr:colOff>9525</xdr:colOff>
                    <xdr:row>56</xdr:row>
                    <xdr:rowOff>9525</xdr:rowOff>
                  </from>
                  <to>
                    <xdr:col>3</xdr:col>
                    <xdr:colOff>600075</xdr:colOff>
                    <xdr:row>57</xdr:row>
                    <xdr:rowOff>38100</xdr:rowOff>
                  </to>
                </anchor>
              </controlPr>
            </control>
          </mc:Choice>
        </mc:AlternateContent>
        <mc:AlternateContent xmlns:mc="http://schemas.openxmlformats.org/markup-compatibility/2006">
          <mc:Choice Requires="x14">
            <control shapeId="12327" r:id="rId41" name="Check Box 39">
              <controlPr defaultSize="0" autoFill="0" autoLine="0" autoPict="0">
                <anchor moveWithCells="1">
                  <from>
                    <xdr:col>3</xdr:col>
                    <xdr:colOff>9525</xdr:colOff>
                    <xdr:row>57</xdr:row>
                    <xdr:rowOff>9525</xdr:rowOff>
                  </from>
                  <to>
                    <xdr:col>3</xdr:col>
                    <xdr:colOff>600075</xdr:colOff>
                    <xdr:row>58</xdr:row>
                    <xdr:rowOff>38100</xdr:rowOff>
                  </to>
                </anchor>
              </controlPr>
            </control>
          </mc:Choice>
        </mc:AlternateContent>
        <mc:AlternateContent xmlns:mc="http://schemas.openxmlformats.org/markup-compatibility/2006">
          <mc:Choice Requires="x14">
            <control shapeId="12328" r:id="rId42" name="Check Box 40">
              <controlPr defaultSize="0" autoFill="0" autoLine="0" autoPict="0">
                <anchor moveWithCells="1">
                  <from>
                    <xdr:col>3</xdr:col>
                    <xdr:colOff>9525</xdr:colOff>
                    <xdr:row>57</xdr:row>
                    <xdr:rowOff>9525</xdr:rowOff>
                  </from>
                  <to>
                    <xdr:col>3</xdr:col>
                    <xdr:colOff>600075</xdr:colOff>
                    <xdr:row>58</xdr:row>
                    <xdr:rowOff>38100</xdr:rowOff>
                  </to>
                </anchor>
              </controlPr>
            </control>
          </mc:Choice>
        </mc:AlternateContent>
        <mc:AlternateContent xmlns:mc="http://schemas.openxmlformats.org/markup-compatibility/2006">
          <mc:Choice Requires="x14">
            <control shapeId="12329" r:id="rId43" name="Check Box 41">
              <controlPr defaultSize="0" autoFill="0" autoLine="0" autoPict="0">
                <anchor moveWithCells="1">
                  <from>
                    <xdr:col>3</xdr:col>
                    <xdr:colOff>9525</xdr:colOff>
                    <xdr:row>58</xdr:row>
                    <xdr:rowOff>9525</xdr:rowOff>
                  </from>
                  <to>
                    <xdr:col>3</xdr:col>
                    <xdr:colOff>600075</xdr:colOff>
                    <xdr:row>59</xdr:row>
                    <xdr:rowOff>38100</xdr:rowOff>
                  </to>
                </anchor>
              </controlPr>
            </control>
          </mc:Choice>
        </mc:AlternateContent>
        <mc:AlternateContent xmlns:mc="http://schemas.openxmlformats.org/markup-compatibility/2006">
          <mc:Choice Requires="x14">
            <control shapeId="12330" r:id="rId44" name="Check Box 42">
              <controlPr defaultSize="0" autoFill="0" autoLine="0" autoPict="0">
                <anchor moveWithCells="1">
                  <from>
                    <xdr:col>3</xdr:col>
                    <xdr:colOff>9525</xdr:colOff>
                    <xdr:row>58</xdr:row>
                    <xdr:rowOff>9525</xdr:rowOff>
                  </from>
                  <to>
                    <xdr:col>3</xdr:col>
                    <xdr:colOff>600075</xdr:colOff>
                    <xdr:row>59</xdr:row>
                    <xdr:rowOff>38100</xdr:rowOff>
                  </to>
                </anchor>
              </controlPr>
            </control>
          </mc:Choice>
        </mc:AlternateContent>
        <mc:AlternateContent xmlns:mc="http://schemas.openxmlformats.org/markup-compatibility/2006">
          <mc:Choice Requires="x14">
            <control shapeId="12331" r:id="rId45" name="Check Box 43">
              <controlPr defaultSize="0" autoFill="0" autoLine="0" autoPict="0">
                <anchor moveWithCells="1">
                  <from>
                    <xdr:col>3</xdr:col>
                    <xdr:colOff>9525</xdr:colOff>
                    <xdr:row>58</xdr:row>
                    <xdr:rowOff>9525</xdr:rowOff>
                  </from>
                  <to>
                    <xdr:col>3</xdr:col>
                    <xdr:colOff>600075</xdr:colOff>
                    <xdr:row>59</xdr:row>
                    <xdr:rowOff>38100</xdr:rowOff>
                  </to>
                </anchor>
              </controlPr>
            </control>
          </mc:Choice>
        </mc:AlternateContent>
        <mc:AlternateContent xmlns:mc="http://schemas.openxmlformats.org/markup-compatibility/2006">
          <mc:Choice Requires="x14">
            <control shapeId="12332" r:id="rId46" name="Check Box 44">
              <controlPr defaultSize="0" autoFill="0" autoLine="0" autoPict="0">
                <anchor moveWithCells="1">
                  <from>
                    <xdr:col>3</xdr:col>
                    <xdr:colOff>9525</xdr:colOff>
                    <xdr:row>59</xdr:row>
                    <xdr:rowOff>9525</xdr:rowOff>
                  </from>
                  <to>
                    <xdr:col>3</xdr:col>
                    <xdr:colOff>600075</xdr:colOff>
                    <xdr:row>60</xdr:row>
                    <xdr:rowOff>28575</xdr:rowOff>
                  </to>
                </anchor>
              </controlPr>
            </control>
          </mc:Choice>
        </mc:AlternateContent>
        <mc:AlternateContent xmlns:mc="http://schemas.openxmlformats.org/markup-compatibility/2006">
          <mc:Choice Requires="x14">
            <control shapeId="12333" r:id="rId47" name="Check Box 45">
              <controlPr defaultSize="0" autoFill="0" autoLine="0" autoPict="0">
                <anchor moveWithCells="1">
                  <from>
                    <xdr:col>3</xdr:col>
                    <xdr:colOff>9525</xdr:colOff>
                    <xdr:row>59</xdr:row>
                    <xdr:rowOff>9525</xdr:rowOff>
                  </from>
                  <to>
                    <xdr:col>3</xdr:col>
                    <xdr:colOff>600075</xdr:colOff>
                    <xdr:row>60</xdr:row>
                    <xdr:rowOff>28575</xdr:rowOff>
                  </to>
                </anchor>
              </controlPr>
            </control>
          </mc:Choice>
        </mc:AlternateContent>
        <mc:AlternateContent xmlns:mc="http://schemas.openxmlformats.org/markup-compatibility/2006">
          <mc:Choice Requires="x14">
            <control shapeId="12334" r:id="rId48" name="Check Box 46">
              <controlPr defaultSize="0" autoFill="0" autoLine="0" autoPict="0">
                <anchor moveWithCells="1">
                  <from>
                    <xdr:col>3</xdr:col>
                    <xdr:colOff>9525</xdr:colOff>
                    <xdr:row>74</xdr:row>
                    <xdr:rowOff>9525</xdr:rowOff>
                  </from>
                  <to>
                    <xdr:col>3</xdr:col>
                    <xdr:colOff>600075</xdr:colOff>
                    <xdr:row>75</xdr:row>
                    <xdr:rowOff>38100</xdr:rowOff>
                  </to>
                </anchor>
              </controlPr>
            </control>
          </mc:Choice>
        </mc:AlternateContent>
        <mc:AlternateContent xmlns:mc="http://schemas.openxmlformats.org/markup-compatibility/2006">
          <mc:Choice Requires="x14">
            <control shapeId="12335" r:id="rId49" name="Check Box 47">
              <controlPr defaultSize="0" autoFill="0" autoLine="0" autoPict="0">
                <anchor moveWithCells="1">
                  <from>
                    <xdr:col>3</xdr:col>
                    <xdr:colOff>9525</xdr:colOff>
                    <xdr:row>75</xdr:row>
                    <xdr:rowOff>9525</xdr:rowOff>
                  </from>
                  <to>
                    <xdr:col>3</xdr:col>
                    <xdr:colOff>600075</xdr:colOff>
                    <xdr:row>76</xdr:row>
                    <xdr:rowOff>38100</xdr:rowOff>
                  </to>
                </anchor>
              </controlPr>
            </control>
          </mc:Choice>
        </mc:AlternateContent>
        <mc:AlternateContent xmlns:mc="http://schemas.openxmlformats.org/markup-compatibility/2006">
          <mc:Choice Requires="x14">
            <control shapeId="12336" r:id="rId50" name="Check Box 48">
              <controlPr defaultSize="0" autoFill="0" autoLine="0" autoPict="0">
                <anchor moveWithCells="1">
                  <from>
                    <xdr:col>3</xdr:col>
                    <xdr:colOff>9525</xdr:colOff>
                    <xdr:row>76</xdr:row>
                    <xdr:rowOff>9525</xdr:rowOff>
                  </from>
                  <to>
                    <xdr:col>3</xdr:col>
                    <xdr:colOff>600075</xdr:colOff>
                    <xdr:row>77</xdr:row>
                    <xdr:rowOff>38100</xdr:rowOff>
                  </to>
                </anchor>
              </controlPr>
            </control>
          </mc:Choice>
        </mc:AlternateContent>
        <mc:AlternateContent xmlns:mc="http://schemas.openxmlformats.org/markup-compatibility/2006">
          <mc:Choice Requires="x14">
            <control shapeId="12337" r:id="rId51" name="Check Box 49">
              <controlPr defaultSize="0" autoFill="0" autoLine="0" autoPict="0">
                <anchor moveWithCells="1">
                  <from>
                    <xdr:col>3</xdr:col>
                    <xdr:colOff>9525</xdr:colOff>
                    <xdr:row>77</xdr:row>
                    <xdr:rowOff>9525</xdr:rowOff>
                  </from>
                  <to>
                    <xdr:col>3</xdr:col>
                    <xdr:colOff>600075</xdr:colOff>
                    <xdr:row>78</xdr:row>
                    <xdr:rowOff>38100</xdr:rowOff>
                  </to>
                </anchor>
              </controlPr>
            </control>
          </mc:Choice>
        </mc:AlternateContent>
        <mc:AlternateContent xmlns:mc="http://schemas.openxmlformats.org/markup-compatibility/2006">
          <mc:Choice Requires="x14">
            <control shapeId="12338" r:id="rId52" name="Check Box 50">
              <controlPr defaultSize="0" autoFill="0" autoLine="0" autoPict="0">
                <anchor moveWithCells="1">
                  <from>
                    <xdr:col>3</xdr:col>
                    <xdr:colOff>9525</xdr:colOff>
                    <xdr:row>78</xdr:row>
                    <xdr:rowOff>9525</xdr:rowOff>
                  </from>
                  <to>
                    <xdr:col>3</xdr:col>
                    <xdr:colOff>600075</xdr:colOff>
                    <xdr:row>79</xdr:row>
                    <xdr:rowOff>38100</xdr:rowOff>
                  </to>
                </anchor>
              </controlPr>
            </control>
          </mc:Choice>
        </mc:AlternateContent>
        <mc:AlternateContent xmlns:mc="http://schemas.openxmlformats.org/markup-compatibility/2006">
          <mc:Choice Requires="x14">
            <control shapeId="12339" r:id="rId53" name="Check Box 51">
              <controlPr defaultSize="0" autoFill="0" autoLine="0" autoPict="0">
                <anchor moveWithCells="1">
                  <from>
                    <xdr:col>3</xdr:col>
                    <xdr:colOff>9525</xdr:colOff>
                    <xdr:row>79</xdr:row>
                    <xdr:rowOff>9525</xdr:rowOff>
                  </from>
                  <to>
                    <xdr:col>3</xdr:col>
                    <xdr:colOff>600075</xdr:colOff>
                    <xdr:row>80</xdr:row>
                    <xdr:rowOff>38100</xdr:rowOff>
                  </to>
                </anchor>
              </controlPr>
            </control>
          </mc:Choice>
        </mc:AlternateContent>
        <mc:AlternateContent xmlns:mc="http://schemas.openxmlformats.org/markup-compatibility/2006">
          <mc:Choice Requires="x14">
            <control shapeId="12340" r:id="rId54" name="Check Box 52">
              <controlPr defaultSize="0" autoFill="0" autoLine="0" autoPict="0">
                <anchor moveWithCells="1">
                  <from>
                    <xdr:col>3</xdr:col>
                    <xdr:colOff>9525</xdr:colOff>
                    <xdr:row>80</xdr:row>
                    <xdr:rowOff>9525</xdr:rowOff>
                  </from>
                  <to>
                    <xdr:col>3</xdr:col>
                    <xdr:colOff>600075</xdr:colOff>
                    <xdr:row>81</xdr:row>
                    <xdr:rowOff>38100</xdr:rowOff>
                  </to>
                </anchor>
              </controlPr>
            </control>
          </mc:Choice>
        </mc:AlternateContent>
        <mc:AlternateContent xmlns:mc="http://schemas.openxmlformats.org/markup-compatibility/2006">
          <mc:Choice Requires="x14">
            <control shapeId="12341" r:id="rId55" name="Check Box 53">
              <controlPr defaultSize="0" autoFill="0" autoLine="0" autoPict="0">
                <anchor moveWithCells="1">
                  <from>
                    <xdr:col>3</xdr:col>
                    <xdr:colOff>9525</xdr:colOff>
                    <xdr:row>80</xdr:row>
                    <xdr:rowOff>9525</xdr:rowOff>
                  </from>
                  <to>
                    <xdr:col>3</xdr:col>
                    <xdr:colOff>600075</xdr:colOff>
                    <xdr:row>81</xdr:row>
                    <xdr:rowOff>38100</xdr:rowOff>
                  </to>
                </anchor>
              </controlPr>
            </control>
          </mc:Choice>
        </mc:AlternateContent>
        <mc:AlternateContent xmlns:mc="http://schemas.openxmlformats.org/markup-compatibility/2006">
          <mc:Choice Requires="x14">
            <control shapeId="12342" r:id="rId56" name="Check Box 54">
              <controlPr defaultSize="0" autoFill="0" autoLine="0" autoPict="0">
                <anchor moveWithCells="1">
                  <from>
                    <xdr:col>3</xdr:col>
                    <xdr:colOff>9525</xdr:colOff>
                    <xdr:row>81</xdr:row>
                    <xdr:rowOff>9525</xdr:rowOff>
                  </from>
                  <to>
                    <xdr:col>3</xdr:col>
                    <xdr:colOff>600075</xdr:colOff>
                    <xdr:row>82</xdr:row>
                    <xdr:rowOff>38100</xdr:rowOff>
                  </to>
                </anchor>
              </controlPr>
            </control>
          </mc:Choice>
        </mc:AlternateContent>
        <mc:AlternateContent xmlns:mc="http://schemas.openxmlformats.org/markup-compatibility/2006">
          <mc:Choice Requires="x14">
            <control shapeId="12343" r:id="rId57" name="Check Box 55">
              <controlPr defaultSize="0" autoFill="0" autoLine="0" autoPict="0">
                <anchor moveWithCells="1">
                  <from>
                    <xdr:col>3</xdr:col>
                    <xdr:colOff>9525</xdr:colOff>
                    <xdr:row>81</xdr:row>
                    <xdr:rowOff>9525</xdr:rowOff>
                  </from>
                  <to>
                    <xdr:col>3</xdr:col>
                    <xdr:colOff>600075</xdr:colOff>
                    <xdr:row>82</xdr:row>
                    <xdr:rowOff>38100</xdr:rowOff>
                  </to>
                </anchor>
              </controlPr>
            </control>
          </mc:Choice>
        </mc:AlternateContent>
        <mc:AlternateContent xmlns:mc="http://schemas.openxmlformats.org/markup-compatibility/2006">
          <mc:Choice Requires="x14">
            <control shapeId="12344" r:id="rId58" name="Check Box 56">
              <controlPr defaultSize="0" autoFill="0" autoLine="0" autoPict="0">
                <anchor moveWithCells="1">
                  <from>
                    <xdr:col>3</xdr:col>
                    <xdr:colOff>9525</xdr:colOff>
                    <xdr:row>82</xdr:row>
                    <xdr:rowOff>9525</xdr:rowOff>
                  </from>
                  <to>
                    <xdr:col>3</xdr:col>
                    <xdr:colOff>600075</xdr:colOff>
                    <xdr:row>83</xdr:row>
                    <xdr:rowOff>38100</xdr:rowOff>
                  </to>
                </anchor>
              </controlPr>
            </control>
          </mc:Choice>
        </mc:AlternateContent>
        <mc:AlternateContent xmlns:mc="http://schemas.openxmlformats.org/markup-compatibility/2006">
          <mc:Choice Requires="x14">
            <control shapeId="12345" r:id="rId59" name="Check Box 57">
              <controlPr defaultSize="0" autoFill="0" autoLine="0" autoPict="0">
                <anchor moveWithCells="1">
                  <from>
                    <xdr:col>3</xdr:col>
                    <xdr:colOff>9525</xdr:colOff>
                    <xdr:row>82</xdr:row>
                    <xdr:rowOff>9525</xdr:rowOff>
                  </from>
                  <to>
                    <xdr:col>3</xdr:col>
                    <xdr:colOff>600075</xdr:colOff>
                    <xdr:row>83</xdr:row>
                    <xdr:rowOff>38100</xdr:rowOff>
                  </to>
                </anchor>
              </controlPr>
            </control>
          </mc:Choice>
        </mc:AlternateContent>
        <mc:AlternateContent xmlns:mc="http://schemas.openxmlformats.org/markup-compatibility/2006">
          <mc:Choice Requires="x14">
            <control shapeId="12346" r:id="rId60" name="Check Box 58">
              <controlPr defaultSize="0" autoFill="0" autoLine="0" autoPict="0">
                <anchor moveWithCells="1">
                  <from>
                    <xdr:col>3</xdr:col>
                    <xdr:colOff>9525</xdr:colOff>
                    <xdr:row>82</xdr:row>
                    <xdr:rowOff>9525</xdr:rowOff>
                  </from>
                  <to>
                    <xdr:col>3</xdr:col>
                    <xdr:colOff>600075</xdr:colOff>
                    <xdr:row>83</xdr:row>
                    <xdr:rowOff>38100</xdr:rowOff>
                  </to>
                </anchor>
              </controlPr>
            </control>
          </mc:Choice>
        </mc:AlternateContent>
        <mc:AlternateContent xmlns:mc="http://schemas.openxmlformats.org/markup-compatibility/2006">
          <mc:Choice Requires="x14">
            <control shapeId="12347" r:id="rId61" name="Check Box 59">
              <controlPr defaultSize="0" autoFill="0" autoLine="0" autoPict="0">
                <anchor moveWithCells="1">
                  <from>
                    <xdr:col>3</xdr:col>
                    <xdr:colOff>9525</xdr:colOff>
                    <xdr:row>83</xdr:row>
                    <xdr:rowOff>9525</xdr:rowOff>
                  </from>
                  <to>
                    <xdr:col>3</xdr:col>
                    <xdr:colOff>600075</xdr:colOff>
                    <xdr:row>84</xdr:row>
                    <xdr:rowOff>28575</xdr:rowOff>
                  </to>
                </anchor>
              </controlPr>
            </control>
          </mc:Choice>
        </mc:AlternateContent>
        <mc:AlternateContent xmlns:mc="http://schemas.openxmlformats.org/markup-compatibility/2006">
          <mc:Choice Requires="x14">
            <control shapeId="12348" r:id="rId62" name="Check Box 60">
              <controlPr defaultSize="0" autoFill="0" autoLine="0" autoPict="0">
                <anchor moveWithCells="1">
                  <from>
                    <xdr:col>3</xdr:col>
                    <xdr:colOff>9525</xdr:colOff>
                    <xdr:row>83</xdr:row>
                    <xdr:rowOff>9525</xdr:rowOff>
                  </from>
                  <to>
                    <xdr:col>3</xdr:col>
                    <xdr:colOff>600075</xdr:colOff>
                    <xdr:row>84</xdr:row>
                    <xdr:rowOff>28575</xdr:rowOff>
                  </to>
                </anchor>
              </controlPr>
            </control>
          </mc:Choice>
        </mc:AlternateContent>
        <mc:AlternateContent xmlns:mc="http://schemas.openxmlformats.org/markup-compatibility/2006">
          <mc:Choice Requires="x14">
            <control shapeId="12349" r:id="rId63" name="Check Box 61">
              <controlPr defaultSize="0" autoFill="0" autoLine="0" autoPict="0">
                <anchor moveWithCells="1">
                  <from>
                    <xdr:col>3</xdr:col>
                    <xdr:colOff>9525</xdr:colOff>
                    <xdr:row>98</xdr:row>
                    <xdr:rowOff>9525</xdr:rowOff>
                  </from>
                  <to>
                    <xdr:col>3</xdr:col>
                    <xdr:colOff>600075</xdr:colOff>
                    <xdr:row>99</xdr:row>
                    <xdr:rowOff>38100</xdr:rowOff>
                  </to>
                </anchor>
              </controlPr>
            </control>
          </mc:Choice>
        </mc:AlternateContent>
        <mc:AlternateContent xmlns:mc="http://schemas.openxmlformats.org/markup-compatibility/2006">
          <mc:Choice Requires="x14">
            <control shapeId="12350" r:id="rId64" name="Check Box 62">
              <controlPr defaultSize="0" autoFill="0" autoLine="0" autoPict="0">
                <anchor moveWithCells="1">
                  <from>
                    <xdr:col>3</xdr:col>
                    <xdr:colOff>9525</xdr:colOff>
                    <xdr:row>99</xdr:row>
                    <xdr:rowOff>9525</xdr:rowOff>
                  </from>
                  <to>
                    <xdr:col>3</xdr:col>
                    <xdr:colOff>600075</xdr:colOff>
                    <xdr:row>100</xdr:row>
                    <xdr:rowOff>38100</xdr:rowOff>
                  </to>
                </anchor>
              </controlPr>
            </control>
          </mc:Choice>
        </mc:AlternateContent>
        <mc:AlternateContent xmlns:mc="http://schemas.openxmlformats.org/markup-compatibility/2006">
          <mc:Choice Requires="x14">
            <control shapeId="12351" r:id="rId65" name="Check Box 63">
              <controlPr defaultSize="0" autoFill="0" autoLine="0" autoPict="0">
                <anchor moveWithCells="1">
                  <from>
                    <xdr:col>3</xdr:col>
                    <xdr:colOff>9525</xdr:colOff>
                    <xdr:row>100</xdr:row>
                    <xdr:rowOff>9525</xdr:rowOff>
                  </from>
                  <to>
                    <xdr:col>3</xdr:col>
                    <xdr:colOff>600075</xdr:colOff>
                    <xdr:row>101</xdr:row>
                    <xdr:rowOff>38100</xdr:rowOff>
                  </to>
                </anchor>
              </controlPr>
            </control>
          </mc:Choice>
        </mc:AlternateContent>
        <mc:AlternateContent xmlns:mc="http://schemas.openxmlformats.org/markup-compatibility/2006">
          <mc:Choice Requires="x14">
            <control shapeId="12352" r:id="rId66" name="Check Box 64">
              <controlPr defaultSize="0" autoFill="0" autoLine="0" autoPict="0">
                <anchor moveWithCells="1">
                  <from>
                    <xdr:col>3</xdr:col>
                    <xdr:colOff>9525</xdr:colOff>
                    <xdr:row>101</xdr:row>
                    <xdr:rowOff>9525</xdr:rowOff>
                  </from>
                  <to>
                    <xdr:col>3</xdr:col>
                    <xdr:colOff>600075</xdr:colOff>
                    <xdr:row>102</xdr:row>
                    <xdr:rowOff>38100</xdr:rowOff>
                  </to>
                </anchor>
              </controlPr>
            </control>
          </mc:Choice>
        </mc:AlternateContent>
        <mc:AlternateContent xmlns:mc="http://schemas.openxmlformats.org/markup-compatibility/2006">
          <mc:Choice Requires="x14">
            <control shapeId="12353" r:id="rId67" name="Check Box 65">
              <controlPr defaultSize="0" autoFill="0" autoLine="0" autoPict="0">
                <anchor moveWithCells="1">
                  <from>
                    <xdr:col>3</xdr:col>
                    <xdr:colOff>9525</xdr:colOff>
                    <xdr:row>102</xdr:row>
                    <xdr:rowOff>9525</xdr:rowOff>
                  </from>
                  <to>
                    <xdr:col>3</xdr:col>
                    <xdr:colOff>600075</xdr:colOff>
                    <xdr:row>103</xdr:row>
                    <xdr:rowOff>38100</xdr:rowOff>
                  </to>
                </anchor>
              </controlPr>
            </control>
          </mc:Choice>
        </mc:AlternateContent>
        <mc:AlternateContent xmlns:mc="http://schemas.openxmlformats.org/markup-compatibility/2006">
          <mc:Choice Requires="x14">
            <control shapeId="12354" r:id="rId68" name="Check Box 66">
              <controlPr defaultSize="0" autoFill="0" autoLine="0" autoPict="0">
                <anchor moveWithCells="1">
                  <from>
                    <xdr:col>3</xdr:col>
                    <xdr:colOff>9525</xdr:colOff>
                    <xdr:row>103</xdr:row>
                    <xdr:rowOff>9525</xdr:rowOff>
                  </from>
                  <to>
                    <xdr:col>3</xdr:col>
                    <xdr:colOff>600075</xdr:colOff>
                    <xdr:row>104</xdr:row>
                    <xdr:rowOff>38100</xdr:rowOff>
                  </to>
                </anchor>
              </controlPr>
            </control>
          </mc:Choice>
        </mc:AlternateContent>
        <mc:AlternateContent xmlns:mc="http://schemas.openxmlformats.org/markup-compatibility/2006">
          <mc:Choice Requires="x14">
            <control shapeId="12355" r:id="rId69" name="Check Box 67">
              <controlPr defaultSize="0" autoFill="0" autoLine="0" autoPict="0">
                <anchor moveWithCells="1">
                  <from>
                    <xdr:col>3</xdr:col>
                    <xdr:colOff>9525</xdr:colOff>
                    <xdr:row>104</xdr:row>
                    <xdr:rowOff>9525</xdr:rowOff>
                  </from>
                  <to>
                    <xdr:col>3</xdr:col>
                    <xdr:colOff>600075</xdr:colOff>
                    <xdr:row>105</xdr:row>
                    <xdr:rowOff>38100</xdr:rowOff>
                  </to>
                </anchor>
              </controlPr>
            </control>
          </mc:Choice>
        </mc:AlternateContent>
        <mc:AlternateContent xmlns:mc="http://schemas.openxmlformats.org/markup-compatibility/2006">
          <mc:Choice Requires="x14">
            <control shapeId="12356" r:id="rId70" name="Check Box 68">
              <controlPr defaultSize="0" autoFill="0" autoLine="0" autoPict="0">
                <anchor moveWithCells="1">
                  <from>
                    <xdr:col>3</xdr:col>
                    <xdr:colOff>9525</xdr:colOff>
                    <xdr:row>104</xdr:row>
                    <xdr:rowOff>9525</xdr:rowOff>
                  </from>
                  <to>
                    <xdr:col>3</xdr:col>
                    <xdr:colOff>600075</xdr:colOff>
                    <xdr:row>105</xdr:row>
                    <xdr:rowOff>38100</xdr:rowOff>
                  </to>
                </anchor>
              </controlPr>
            </control>
          </mc:Choice>
        </mc:AlternateContent>
        <mc:AlternateContent xmlns:mc="http://schemas.openxmlformats.org/markup-compatibility/2006">
          <mc:Choice Requires="x14">
            <control shapeId="12357" r:id="rId71" name="Check Box 69">
              <controlPr defaultSize="0" autoFill="0" autoLine="0" autoPict="0">
                <anchor moveWithCells="1">
                  <from>
                    <xdr:col>3</xdr:col>
                    <xdr:colOff>9525</xdr:colOff>
                    <xdr:row>105</xdr:row>
                    <xdr:rowOff>9525</xdr:rowOff>
                  </from>
                  <to>
                    <xdr:col>3</xdr:col>
                    <xdr:colOff>600075</xdr:colOff>
                    <xdr:row>106</xdr:row>
                    <xdr:rowOff>38100</xdr:rowOff>
                  </to>
                </anchor>
              </controlPr>
            </control>
          </mc:Choice>
        </mc:AlternateContent>
        <mc:AlternateContent xmlns:mc="http://schemas.openxmlformats.org/markup-compatibility/2006">
          <mc:Choice Requires="x14">
            <control shapeId="12358" r:id="rId72" name="Check Box 70">
              <controlPr defaultSize="0" autoFill="0" autoLine="0" autoPict="0">
                <anchor moveWithCells="1">
                  <from>
                    <xdr:col>3</xdr:col>
                    <xdr:colOff>9525</xdr:colOff>
                    <xdr:row>105</xdr:row>
                    <xdr:rowOff>9525</xdr:rowOff>
                  </from>
                  <to>
                    <xdr:col>3</xdr:col>
                    <xdr:colOff>600075</xdr:colOff>
                    <xdr:row>106</xdr:row>
                    <xdr:rowOff>38100</xdr:rowOff>
                  </to>
                </anchor>
              </controlPr>
            </control>
          </mc:Choice>
        </mc:AlternateContent>
        <mc:AlternateContent xmlns:mc="http://schemas.openxmlformats.org/markup-compatibility/2006">
          <mc:Choice Requires="x14">
            <control shapeId="12359" r:id="rId73" name="Check Box 71">
              <controlPr defaultSize="0" autoFill="0" autoLine="0" autoPict="0">
                <anchor moveWithCells="1">
                  <from>
                    <xdr:col>3</xdr:col>
                    <xdr:colOff>9525</xdr:colOff>
                    <xdr:row>106</xdr:row>
                    <xdr:rowOff>9525</xdr:rowOff>
                  </from>
                  <to>
                    <xdr:col>3</xdr:col>
                    <xdr:colOff>600075</xdr:colOff>
                    <xdr:row>107</xdr:row>
                    <xdr:rowOff>38100</xdr:rowOff>
                  </to>
                </anchor>
              </controlPr>
            </control>
          </mc:Choice>
        </mc:AlternateContent>
        <mc:AlternateContent xmlns:mc="http://schemas.openxmlformats.org/markup-compatibility/2006">
          <mc:Choice Requires="x14">
            <control shapeId="12360" r:id="rId74" name="Check Box 72">
              <controlPr defaultSize="0" autoFill="0" autoLine="0" autoPict="0">
                <anchor moveWithCells="1">
                  <from>
                    <xdr:col>3</xdr:col>
                    <xdr:colOff>9525</xdr:colOff>
                    <xdr:row>106</xdr:row>
                    <xdr:rowOff>9525</xdr:rowOff>
                  </from>
                  <to>
                    <xdr:col>3</xdr:col>
                    <xdr:colOff>600075</xdr:colOff>
                    <xdr:row>107</xdr:row>
                    <xdr:rowOff>38100</xdr:rowOff>
                  </to>
                </anchor>
              </controlPr>
            </control>
          </mc:Choice>
        </mc:AlternateContent>
        <mc:AlternateContent xmlns:mc="http://schemas.openxmlformats.org/markup-compatibility/2006">
          <mc:Choice Requires="x14">
            <control shapeId="12361" r:id="rId75" name="Check Box 73">
              <controlPr defaultSize="0" autoFill="0" autoLine="0" autoPict="0">
                <anchor moveWithCells="1">
                  <from>
                    <xdr:col>3</xdr:col>
                    <xdr:colOff>9525</xdr:colOff>
                    <xdr:row>106</xdr:row>
                    <xdr:rowOff>9525</xdr:rowOff>
                  </from>
                  <to>
                    <xdr:col>3</xdr:col>
                    <xdr:colOff>600075</xdr:colOff>
                    <xdr:row>107</xdr:row>
                    <xdr:rowOff>38100</xdr:rowOff>
                  </to>
                </anchor>
              </controlPr>
            </control>
          </mc:Choice>
        </mc:AlternateContent>
        <mc:AlternateContent xmlns:mc="http://schemas.openxmlformats.org/markup-compatibility/2006">
          <mc:Choice Requires="x14">
            <control shapeId="12362" r:id="rId76" name="Check Box 74">
              <controlPr defaultSize="0" autoFill="0" autoLine="0" autoPict="0">
                <anchor moveWithCells="1">
                  <from>
                    <xdr:col>3</xdr:col>
                    <xdr:colOff>9525</xdr:colOff>
                    <xdr:row>107</xdr:row>
                    <xdr:rowOff>9525</xdr:rowOff>
                  </from>
                  <to>
                    <xdr:col>3</xdr:col>
                    <xdr:colOff>600075</xdr:colOff>
                    <xdr:row>108</xdr:row>
                    <xdr:rowOff>28575</xdr:rowOff>
                  </to>
                </anchor>
              </controlPr>
            </control>
          </mc:Choice>
        </mc:AlternateContent>
        <mc:AlternateContent xmlns:mc="http://schemas.openxmlformats.org/markup-compatibility/2006">
          <mc:Choice Requires="x14">
            <control shapeId="12363" r:id="rId77" name="Check Box 75">
              <controlPr defaultSize="0" autoFill="0" autoLine="0" autoPict="0">
                <anchor moveWithCells="1">
                  <from>
                    <xdr:col>3</xdr:col>
                    <xdr:colOff>9525</xdr:colOff>
                    <xdr:row>107</xdr:row>
                    <xdr:rowOff>9525</xdr:rowOff>
                  </from>
                  <to>
                    <xdr:col>3</xdr:col>
                    <xdr:colOff>600075</xdr:colOff>
                    <xdr:row>108</xdr:row>
                    <xdr:rowOff>28575</xdr:rowOff>
                  </to>
                </anchor>
              </controlPr>
            </control>
          </mc:Choice>
        </mc:AlternateContent>
        <mc:AlternateContent xmlns:mc="http://schemas.openxmlformats.org/markup-compatibility/2006">
          <mc:Choice Requires="x14">
            <control shapeId="12364" r:id="rId78" name="Check Box 76">
              <controlPr defaultSize="0" autoFill="0" autoLine="0" autoPict="0">
                <anchor moveWithCells="1">
                  <from>
                    <xdr:col>3</xdr:col>
                    <xdr:colOff>9525</xdr:colOff>
                    <xdr:row>122</xdr:row>
                    <xdr:rowOff>9525</xdr:rowOff>
                  </from>
                  <to>
                    <xdr:col>3</xdr:col>
                    <xdr:colOff>600075</xdr:colOff>
                    <xdr:row>123</xdr:row>
                    <xdr:rowOff>38100</xdr:rowOff>
                  </to>
                </anchor>
              </controlPr>
            </control>
          </mc:Choice>
        </mc:AlternateContent>
        <mc:AlternateContent xmlns:mc="http://schemas.openxmlformats.org/markup-compatibility/2006">
          <mc:Choice Requires="x14">
            <control shapeId="12365" r:id="rId79" name="Check Box 77">
              <controlPr defaultSize="0" autoFill="0" autoLine="0" autoPict="0">
                <anchor moveWithCells="1">
                  <from>
                    <xdr:col>3</xdr:col>
                    <xdr:colOff>9525</xdr:colOff>
                    <xdr:row>123</xdr:row>
                    <xdr:rowOff>9525</xdr:rowOff>
                  </from>
                  <to>
                    <xdr:col>3</xdr:col>
                    <xdr:colOff>600075</xdr:colOff>
                    <xdr:row>124</xdr:row>
                    <xdr:rowOff>38100</xdr:rowOff>
                  </to>
                </anchor>
              </controlPr>
            </control>
          </mc:Choice>
        </mc:AlternateContent>
        <mc:AlternateContent xmlns:mc="http://schemas.openxmlformats.org/markup-compatibility/2006">
          <mc:Choice Requires="x14">
            <control shapeId="12366" r:id="rId80" name="Check Box 78">
              <controlPr defaultSize="0" autoFill="0" autoLine="0" autoPict="0">
                <anchor moveWithCells="1">
                  <from>
                    <xdr:col>3</xdr:col>
                    <xdr:colOff>9525</xdr:colOff>
                    <xdr:row>124</xdr:row>
                    <xdr:rowOff>9525</xdr:rowOff>
                  </from>
                  <to>
                    <xdr:col>3</xdr:col>
                    <xdr:colOff>600075</xdr:colOff>
                    <xdr:row>125</xdr:row>
                    <xdr:rowOff>38100</xdr:rowOff>
                  </to>
                </anchor>
              </controlPr>
            </control>
          </mc:Choice>
        </mc:AlternateContent>
        <mc:AlternateContent xmlns:mc="http://schemas.openxmlformats.org/markup-compatibility/2006">
          <mc:Choice Requires="x14">
            <control shapeId="12367" r:id="rId81" name="Check Box 79">
              <controlPr defaultSize="0" autoFill="0" autoLine="0" autoPict="0">
                <anchor moveWithCells="1">
                  <from>
                    <xdr:col>3</xdr:col>
                    <xdr:colOff>9525</xdr:colOff>
                    <xdr:row>125</xdr:row>
                    <xdr:rowOff>9525</xdr:rowOff>
                  </from>
                  <to>
                    <xdr:col>3</xdr:col>
                    <xdr:colOff>600075</xdr:colOff>
                    <xdr:row>126</xdr:row>
                    <xdr:rowOff>38100</xdr:rowOff>
                  </to>
                </anchor>
              </controlPr>
            </control>
          </mc:Choice>
        </mc:AlternateContent>
        <mc:AlternateContent xmlns:mc="http://schemas.openxmlformats.org/markup-compatibility/2006">
          <mc:Choice Requires="x14">
            <control shapeId="12368" r:id="rId82" name="Check Box 80">
              <controlPr defaultSize="0" autoFill="0" autoLine="0" autoPict="0">
                <anchor moveWithCells="1">
                  <from>
                    <xdr:col>3</xdr:col>
                    <xdr:colOff>9525</xdr:colOff>
                    <xdr:row>126</xdr:row>
                    <xdr:rowOff>9525</xdr:rowOff>
                  </from>
                  <to>
                    <xdr:col>3</xdr:col>
                    <xdr:colOff>600075</xdr:colOff>
                    <xdr:row>127</xdr:row>
                    <xdr:rowOff>38100</xdr:rowOff>
                  </to>
                </anchor>
              </controlPr>
            </control>
          </mc:Choice>
        </mc:AlternateContent>
        <mc:AlternateContent xmlns:mc="http://schemas.openxmlformats.org/markup-compatibility/2006">
          <mc:Choice Requires="x14">
            <control shapeId="12369" r:id="rId83" name="Check Box 81">
              <controlPr defaultSize="0" autoFill="0" autoLine="0" autoPict="0">
                <anchor moveWithCells="1">
                  <from>
                    <xdr:col>3</xdr:col>
                    <xdr:colOff>9525</xdr:colOff>
                    <xdr:row>127</xdr:row>
                    <xdr:rowOff>9525</xdr:rowOff>
                  </from>
                  <to>
                    <xdr:col>3</xdr:col>
                    <xdr:colOff>600075</xdr:colOff>
                    <xdr:row>128</xdr:row>
                    <xdr:rowOff>38100</xdr:rowOff>
                  </to>
                </anchor>
              </controlPr>
            </control>
          </mc:Choice>
        </mc:AlternateContent>
        <mc:AlternateContent xmlns:mc="http://schemas.openxmlformats.org/markup-compatibility/2006">
          <mc:Choice Requires="x14">
            <control shapeId="12370" r:id="rId84" name="Check Box 82">
              <controlPr defaultSize="0" autoFill="0" autoLine="0" autoPict="0">
                <anchor moveWithCells="1">
                  <from>
                    <xdr:col>3</xdr:col>
                    <xdr:colOff>9525</xdr:colOff>
                    <xdr:row>128</xdr:row>
                    <xdr:rowOff>9525</xdr:rowOff>
                  </from>
                  <to>
                    <xdr:col>3</xdr:col>
                    <xdr:colOff>600075</xdr:colOff>
                    <xdr:row>129</xdr:row>
                    <xdr:rowOff>38100</xdr:rowOff>
                  </to>
                </anchor>
              </controlPr>
            </control>
          </mc:Choice>
        </mc:AlternateContent>
        <mc:AlternateContent xmlns:mc="http://schemas.openxmlformats.org/markup-compatibility/2006">
          <mc:Choice Requires="x14">
            <control shapeId="12371" r:id="rId85" name="Check Box 83">
              <controlPr defaultSize="0" autoFill="0" autoLine="0" autoPict="0">
                <anchor moveWithCells="1">
                  <from>
                    <xdr:col>3</xdr:col>
                    <xdr:colOff>9525</xdr:colOff>
                    <xdr:row>128</xdr:row>
                    <xdr:rowOff>9525</xdr:rowOff>
                  </from>
                  <to>
                    <xdr:col>3</xdr:col>
                    <xdr:colOff>600075</xdr:colOff>
                    <xdr:row>129</xdr:row>
                    <xdr:rowOff>38100</xdr:rowOff>
                  </to>
                </anchor>
              </controlPr>
            </control>
          </mc:Choice>
        </mc:AlternateContent>
        <mc:AlternateContent xmlns:mc="http://schemas.openxmlformats.org/markup-compatibility/2006">
          <mc:Choice Requires="x14">
            <control shapeId="12372" r:id="rId86" name="Check Box 84">
              <controlPr defaultSize="0" autoFill="0" autoLine="0" autoPict="0">
                <anchor moveWithCells="1">
                  <from>
                    <xdr:col>3</xdr:col>
                    <xdr:colOff>9525</xdr:colOff>
                    <xdr:row>129</xdr:row>
                    <xdr:rowOff>9525</xdr:rowOff>
                  </from>
                  <to>
                    <xdr:col>3</xdr:col>
                    <xdr:colOff>600075</xdr:colOff>
                    <xdr:row>130</xdr:row>
                    <xdr:rowOff>38100</xdr:rowOff>
                  </to>
                </anchor>
              </controlPr>
            </control>
          </mc:Choice>
        </mc:AlternateContent>
        <mc:AlternateContent xmlns:mc="http://schemas.openxmlformats.org/markup-compatibility/2006">
          <mc:Choice Requires="x14">
            <control shapeId="12373" r:id="rId87" name="Check Box 85">
              <controlPr defaultSize="0" autoFill="0" autoLine="0" autoPict="0">
                <anchor moveWithCells="1">
                  <from>
                    <xdr:col>3</xdr:col>
                    <xdr:colOff>9525</xdr:colOff>
                    <xdr:row>129</xdr:row>
                    <xdr:rowOff>9525</xdr:rowOff>
                  </from>
                  <to>
                    <xdr:col>3</xdr:col>
                    <xdr:colOff>600075</xdr:colOff>
                    <xdr:row>130</xdr:row>
                    <xdr:rowOff>38100</xdr:rowOff>
                  </to>
                </anchor>
              </controlPr>
            </control>
          </mc:Choice>
        </mc:AlternateContent>
        <mc:AlternateContent xmlns:mc="http://schemas.openxmlformats.org/markup-compatibility/2006">
          <mc:Choice Requires="x14">
            <control shapeId="12374" r:id="rId88" name="Check Box 86">
              <controlPr defaultSize="0" autoFill="0" autoLine="0" autoPict="0">
                <anchor moveWithCells="1">
                  <from>
                    <xdr:col>3</xdr:col>
                    <xdr:colOff>9525</xdr:colOff>
                    <xdr:row>130</xdr:row>
                    <xdr:rowOff>9525</xdr:rowOff>
                  </from>
                  <to>
                    <xdr:col>3</xdr:col>
                    <xdr:colOff>600075</xdr:colOff>
                    <xdr:row>131</xdr:row>
                    <xdr:rowOff>38100</xdr:rowOff>
                  </to>
                </anchor>
              </controlPr>
            </control>
          </mc:Choice>
        </mc:AlternateContent>
        <mc:AlternateContent xmlns:mc="http://schemas.openxmlformats.org/markup-compatibility/2006">
          <mc:Choice Requires="x14">
            <control shapeId="12375" r:id="rId89" name="Check Box 87">
              <controlPr defaultSize="0" autoFill="0" autoLine="0" autoPict="0">
                <anchor moveWithCells="1">
                  <from>
                    <xdr:col>3</xdr:col>
                    <xdr:colOff>9525</xdr:colOff>
                    <xdr:row>130</xdr:row>
                    <xdr:rowOff>9525</xdr:rowOff>
                  </from>
                  <to>
                    <xdr:col>3</xdr:col>
                    <xdr:colOff>600075</xdr:colOff>
                    <xdr:row>131</xdr:row>
                    <xdr:rowOff>38100</xdr:rowOff>
                  </to>
                </anchor>
              </controlPr>
            </control>
          </mc:Choice>
        </mc:AlternateContent>
        <mc:AlternateContent xmlns:mc="http://schemas.openxmlformats.org/markup-compatibility/2006">
          <mc:Choice Requires="x14">
            <control shapeId="12376" r:id="rId90" name="Check Box 88">
              <controlPr defaultSize="0" autoFill="0" autoLine="0" autoPict="0">
                <anchor moveWithCells="1">
                  <from>
                    <xdr:col>3</xdr:col>
                    <xdr:colOff>9525</xdr:colOff>
                    <xdr:row>130</xdr:row>
                    <xdr:rowOff>9525</xdr:rowOff>
                  </from>
                  <to>
                    <xdr:col>3</xdr:col>
                    <xdr:colOff>600075</xdr:colOff>
                    <xdr:row>131</xdr:row>
                    <xdr:rowOff>38100</xdr:rowOff>
                  </to>
                </anchor>
              </controlPr>
            </control>
          </mc:Choice>
        </mc:AlternateContent>
        <mc:AlternateContent xmlns:mc="http://schemas.openxmlformats.org/markup-compatibility/2006">
          <mc:Choice Requires="x14">
            <control shapeId="12377" r:id="rId91" name="Check Box 89">
              <controlPr defaultSize="0" autoFill="0" autoLine="0" autoPict="0">
                <anchor moveWithCells="1">
                  <from>
                    <xdr:col>3</xdr:col>
                    <xdr:colOff>9525</xdr:colOff>
                    <xdr:row>131</xdr:row>
                    <xdr:rowOff>9525</xdr:rowOff>
                  </from>
                  <to>
                    <xdr:col>3</xdr:col>
                    <xdr:colOff>600075</xdr:colOff>
                    <xdr:row>132</xdr:row>
                    <xdr:rowOff>28575</xdr:rowOff>
                  </to>
                </anchor>
              </controlPr>
            </control>
          </mc:Choice>
        </mc:AlternateContent>
        <mc:AlternateContent xmlns:mc="http://schemas.openxmlformats.org/markup-compatibility/2006">
          <mc:Choice Requires="x14">
            <control shapeId="12378" r:id="rId92" name="Check Box 90">
              <controlPr defaultSize="0" autoFill="0" autoLine="0" autoPict="0">
                <anchor moveWithCells="1">
                  <from>
                    <xdr:col>3</xdr:col>
                    <xdr:colOff>9525</xdr:colOff>
                    <xdr:row>131</xdr:row>
                    <xdr:rowOff>9525</xdr:rowOff>
                  </from>
                  <to>
                    <xdr:col>3</xdr:col>
                    <xdr:colOff>600075</xdr:colOff>
                    <xdr:row>132</xdr:row>
                    <xdr:rowOff>28575</xdr:rowOff>
                  </to>
                </anchor>
              </controlPr>
            </control>
          </mc:Choice>
        </mc:AlternateContent>
        <mc:AlternateContent xmlns:mc="http://schemas.openxmlformats.org/markup-compatibility/2006">
          <mc:Choice Requires="x14">
            <control shapeId="12379" r:id="rId93" name="Check Box 91">
              <controlPr defaultSize="0" autoFill="0" autoLine="0" autoPict="0">
                <anchor moveWithCells="1">
                  <from>
                    <xdr:col>3</xdr:col>
                    <xdr:colOff>9525</xdr:colOff>
                    <xdr:row>35</xdr:row>
                    <xdr:rowOff>9525</xdr:rowOff>
                  </from>
                  <to>
                    <xdr:col>3</xdr:col>
                    <xdr:colOff>600075</xdr:colOff>
                    <xdr:row>36</xdr:row>
                    <xdr:rowOff>28575</xdr:rowOff>
                  </to>
                </anchor>
              </controlPr>
            </control>
          </mc:Choice>
        </mc:AlternateContent>
        <mc:AlternateContent xmlns:mc="http://schemas.openxmlformats.org/markup-compatibility/2006">
          <mc:Choice Requires="x14">
            <control shapeId="12380" r:id="rId94" name="Check Box 92">
              <controlPr defaultSize="0" autoFill="0" autoLine="0" autoPict="0">
                <anchor moveWithCells="1">
                  <from>
                    <xdr:col>3</xdr:col>
                    <xdr:colOff>9525</xdr:colOff>
                    <xdr:row>35</xdr:row>
                    <xdr:rowOff>9525</xdr:rowOff>
                  </from>
                  <to>
                    <xdr:col>3</xdr:col>
                    <xdr:colOff>600075</xdr:colOff>
                    <xdr:row>36</xdr:row>
                    <xdr:rowOff>28575</xdr:rowOff>
                  </to>
                </anchor>
              </controlPr>
            </control>
          </mc:Choice>
        </mc:AlternateContent>
        <mc:AlternateContent xmlns:mc="http://schemas.openxmlformats.org/markup-compatibility/2006">
          <mc:Choice Requires="x14">
            <control shapeId="12381" r:id="rId95" name="Check Box 93">
              <controlPr defaultSize="0" autoFill="0" autoLine="0" autoPict="0">
                <anchor moveWithCells="1">
                  <from>
                    <xdr:col>3</xdr:col>
                    <xdr:colOff>9525</xdr:colOff>
                    <xdr:row>59</xdr:row>
                    <xdr:rowOff>9525</xdr:rowOff>
                  </from>
                  <to>
                    <xdr:col>3</xdr:col>
                    <xdr:colOff>600075</xdr:colOff>
                    <xdr:row>60</xdr:row>
                    <xdr:rowOff>28575</xdr:rowOff>
                  </to>
                </anchor>
              </controlPr>
            </control>
          </mc:Choice>
        </mc:AlternateContent>
        <mc:AlternateContent xmlns:mc="http://schemas.openxmlformats.org/markup-compatibility/2006">
          <mc:Choice Requires="x14">
            <control shapeId="12382" r:id="rId96" name="Check Box 94">
              <controlPr defaultSize="0" autoFill="0" autoLine="0" autoPict="0">
                <anchor moveWithCells="1">
                  <from>
                    <xdr:col>3</xdr:col>
                    <xdr:colOff>9525</xdr:colOff>
                    <xdr:row>59</xdr:row>
                    <xdr:rowOff>9525</xdr:rowOff>
                  </from>
                  <to>
                    <xdr:col>3</xdr:col>
                    <xdr:colOff>600075</xdr:colOff>
                    <xdr:row>60</xdr:row>
                    <xdr:rowOff>28575</xdr:rowOff>
                  </to>
                </anchor>
              </controlPr>
            </control>
          </mc:Choice>
        </mc:AlternateContent>
        <mc:AlternateContent xmlns:mc="http://schemas.openxmlformats.org/markup-compatibility/2006">
          <mc:Choice Requires="x14">
            <control shapeId="12383" r:id="rId97" name="Check Box 95">
              <controlPr defaultSize="0" autoFill="0" autoLine="0" autoPict="0">
                <anchor moveWithCells="1">
                  <from>
                    <xdr:col>3</xdr:col>
                    <xdr:colOff>9525</xdr:colOff>
                    <xdr:row>83</xdr:row>
                    <xdr:rowOff>9525</xdr:rowOff>
                  </from>
                  <to>
                    <xdr:col>3</xdr:col>
                    <xdr:colOff>600075</xdr:colOff>
                    <xdr:row>84</xdr:row>
                    <xdr:rowOff>28575</xdr:rowOff>
                  </to>
                </anchor>
              </controlPr>
            </control>
          </mc:Choice>
        </mc:AlternateContent>
        <mc:AlternateContent xmlns:mc="http://schemas.openxmlformats.org/markup-compatibility/2006">
          <mc:Choice Requires="x14">
            <control shapeId="12384" r:id="rId98" name="Check Box 96">
              <controlPr defaultSize="0" autoFill="0" autoLine="0" autoPict="0">
                <anchor moveWithCells="1">
                  <from>
                    <xdr:col>3</xdr:col>
                    <xdr:colOff>9525</xdr:colOff>
                    <xdr:row>83</xdr:row>
                    <xdr:rowOff>9525</xdr:rowOff>
                  </from>
                  <to>
                    <xdr:col>3</xdr:col>
                    <xdr:colOff>600075</xdr:colOff>
                    <xdr:row>84</xdr:row>
                    <xdr:rowOff>28575</xdr:rowOff>
                  </to>
                </anchor>
              </controlPr>
            </control>
          </mc:Choice>
        </mc:AlternateContent>
        <mc:AlternateContent xmlns:mc="http://schemas.openxmlformats.org/markup-compatibility/2006">
          <mc:Choice Requires="x14">
            <control shapeId="12385" r:id="rId99" name="Check Box 97">
              <controlPr defaultSize="0" autoFill="0" autoLine="0" autoPict="0">
                <anchor moveWithCells="1">
                  <from>
                    <xdr:col>3</xdr:col>
                    <xdr:colOff>9525</xdr:colOff>
                    <xdr:row>107</xdr:row>
                    <xdr:rowOff>9525</xdr:rowOff>
                  </from>
                  <to>
                    <xdr:col>3</xdr:col>
                    <xdr:colOff>600075</xdr:colOff>
                    <xdr:row>108</xdr:row>
                    <xdr:rowOff>28575</xdr:rowOff>
                  </to>
                </anchor>
              </controlPr>
            </control>
          </mc:Choice>
        </mc:AlternateContent>
        <mc:AlternateContent xmlns:mc="http://schemas.openxmlformats.org/markup-compatibility/2006">
          <mc:Choice Requires="x14">
            <control shapeId="12386" r:id="rId100" name="Check Box 98">
              <controlPr defaultSize="0" autoFill="0" autoLine="0" autoPict="0">
                <anchor moveWithCells="1">
                  <from>
                    <xdr:col>3</xdr:col>
                    <xdr:colOff>9525</xdr:colOff>
                    <xdr:row>107</xdr:row>
                    <xdr:rowOff>9525</xdr:rowOff>
                  </from>
                  <to>
                    <xdr:col>3</xdr:col>
                    <xdr:colOff>600075</xdr:colOff>
                    <xdr:row>108</xdr:row>
                    <xdr:rowOff>28575</xdr:rowOff>
                  </to>
                </anchor>
              </controlPr>
            </control>
          </mc:Choice>
        </mc:AlternateContent>
        <mc:AlternateContent xmlns:mc="http://schemas.openxmlformats.org/markup-compatibility/2006">
          <mc:Choice Requires="x14">
            <control shapeId="12387" r:id="rId101" name="Check Box 99">
              <controlPr defaultSize="0" autoFill="0" autoLine="0" autoPict="0">
                <anchor moveWithCells="1">
                  <from>
                    <xdr:col>3</xdr:col>
                    <xdr:colOff>9525</xdr:colOff>
                    <xdr:row>131</xdr:row>
                    <xdr:rowOff>9525</xdr:rowOff>
                  </from>
                  <to>
                    <xdr:col>3</xdr:col>
                    <xdr:colOff>600075</xdr:colOff>
                    <xdr:row>132</xdr:row>
                    <xdr:rowOff>28575</xdr:rowOff>
                  </to>
                </anchor>
              </controlPr>
            </control>
          </mc:Choice>
        </mc:AlternateContent>
        <mc:AlternateContent xmlns:mc="http://schemas.openxmlformats.org/markup-compatibility/2006">
          <mc:Choice Requires="x14">
            <control shapeId="12388" r:id="rId102" name="Check Box 100">
              <controlPr defaultSize="0" autoFill="0" autoLine="0" autoPict="0">
                <anchor moveWithCells="1">
                  <from>
                    <xdr:col>3</xdr:col>
                    <xdr:colOff>9525</xdr:colOff>
                    <xdr:row>131</xdr:row>
                    <xdr:rowOff>9525</xdr:rowOff>
                  </from>
                  <to>
                    <xdr:col>3</xdr:col>
                    <xdr:colOff>600075</xdr:colOff>
                    <xdr:row>132</xdr:row>
                    <xdr:rowOff>28575</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V_x00e4_lj_x0020_visningsplats xmlns="1a975797-f638-4fd7-8eb3-752ed44b8d33">Minnesanteckningar</V_x00e4_lj_x0020_visningsplat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CAB2658E18A98746A55FF3C2FB6CECB6" ma:contentTypeVersion="3" ma:contentTypeDescription="Skapa ett nytt dokument." ma:contentTypeScope="" ma:versionID="2b1460dd600aff9c3f6f527b44001779">
  <xsd:schema xmlns:xsd="http://www.w3.org/2001/XMLSchema" xmlns:xs="http://www.w3.org/2001/XMLSchema" xmlns:p="http://schemas.microsoft.com/office/2006/metadata/properties" xmlns:ns2="1a975797-f638-4fd7-8eb3-752ed44b8d33" targetNamespace="http://schemas.microsoft.com/office/2006/metadata/properties" ma:root="true" ma:fieldsID="b80bff14323f9809acc034d814e1a2be" ns2:_="">
    <xsd:import namespace="1a975797-f638-4fd7-8eb3-752ed44b8d33"/>
    <xsd:element name="properties">
      <xsd:complexType>
        <xsd:sequence>
          <xsd:element name="documentManagement">
            <xsd:complexType>
              <xsd:all>
                <xsd:element ref="ns2:V_x00e4_lj_x0020_visningspla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a975797-f638-4fd7-8eb3-752ed44b8d33" elementFormDefault="qualified">
    <xsd:import namespace="http://schemas.microsoft.com/office/2006/documentManagement/types"/>
    <xsd:import namespace="http://schemas.microsoft.com/office/infopath/2007/PartnerControls"/>
    <xsd:element name="V_x00e4_lj_x0020_visningsplats" ma:index="8" nillable="true" ma:displayName="Välj visningsplats" ma:default="Minnesanteckningar" ma:format="RadioButtons" ma:internalName="V_x00e4_lj_x0020_visningsplats">
      <xsd:simpleType>
        <xsd:restriction base="dms:Choice">
          <xsd:enumeration value="Minnesanteckningar"/>
          <xsd:enumeration value="Övergripande information"/>
          <xsd:enumeration value="Projektdokument"/>
          <xsd:enumeration value="Kravspecifikationer"/>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ma:readOnly="true"/>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8A8AC26-2424-4CAA-B331-92B53B323556}">
  <ds:schemaRefs>
    <ds:schemaRef ds:uri="http://purl.org/dc/terms/"/>
    <ds:schemaRef ds:uri="http://purl.org/dc/dcmitype/"/>
    <ds:schemaRef ds:uri="http://schemas.openxmlformats.org/package/2006/metadata/core-properties"/>
    <ds:schemaRef ds:uri="http://schemas.microsoft.com/office/2006/documentManagement/types"/>
    <ds:schemaRef ds:uri="http://purl.org/dc/elements/1.1/"/>
    <ds:schemaRef ds:uri="http://www.w3.org/XML/1998/namespace"/>
    <ds:schemaRef ds:uri="http://schemas.microsoft.com/office/infopath/2007/PartnerControls"/>
    <ds:schemaRef ds:uri="1a975797-f638-4fd7-8eb3-752ed44b8d33"/>
    <ds:schemaRef ds:uri="http://schemas.microsoft.com/office/2006/metadata/properties"/>
  </ds:schemaRefs>
</ds:datastoreItem>
</file>

<file path=customXml/itemProps2.xml><?xml version="1.0" encoding="utf-8"?>
<ds:datastoreItem xmlns:ds="http://schemas.openxmlformats.org/officeDocument/2006/customXml" ds:itemID="{1881BE9A-EF5C-4F99-BAF2-F336BB9A232F}">
  <ds:schemaRefs>
    <ds:schemaRef ds:uri="http://schemas.microsoft.com/sharepoint/v3/contenttype/forms"/>
  </ds:schemaRefs>
</ds:datastoreItem>
</file>

<file path=customXml/itemProps3.xml><?xml version="1.0" encoding="utf-8"?>
<ds:datastoreItem xmlns:ds="http://schemas.openxmlformats.org/officeDocument/2006/customXml" ds:itemID="{31F85DF0-DB81-4BD5-856C-37D6567C195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a975797-f638-4fd7-8eb3-752ed44b8d3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14</vt:i4>
      </vt:variant>
      <vt:variant>
        <vt:lpstr>Namngivna områden</vt:lpstr>
      </vt:variant>
      <vt:variant>
        <vt:i4>5</vt:i4>
      </vt:variant>
    </vt:vector>
  </HeadingPairs>
  <TitlesOfParts>
    <vt:vector size="19" baseType="lpstr">
      <vt:lpstr>Förutsättningar</vt:lpstr>
      <vt:lpstr>NFS 2011-7</vt:lpstr>
      <vt:lpstr>Ärendekort</vt:lpstr>
      <vt:lpstr>Skötselplan</vt:lpstr>
      <vt:lpstr>Faktorer</vt:lpstr>
      <vt:lpstr>Utdata</vt:lpstr>
      <vt:lpstr>Beräkning avskjutning</vt:lpstr>
      <vt:lpstr>SourceData</vt:lpstr>
      <vt:lpstr>2.1.1 Avskjutning</vt:lpstr>
      <vt:lpstr>2.1.2 Älgobs</vt:lpstr>
      <vt:lpstr>2.1.3 Spillningsinventering</vt:lpstr>
      <vt:lpstr>2.1.4 Kalvvikter</vt:lpstr>
      <vt:lpstr>2.2.1 Äbin</vt:lpstr>
      <vt:lpstr>Sammanst spillinv ÄFO</vt:lpstr>
      <vt:lpstr>Inventeringsobjekt</vt:lpstr>
      <vt:lpstr>Skogstillstånd</vt:lpstr>
      <vt:lpstr>'Beräkning avskjutning'!Utskriftsområde</vt:lpstr>
      <vt:lpstr>Skötselplan!Utskriftsområde</vt:lpstr>
      <vt:lpstr>Välj</vt:lpstr>
    </vt:vector>
  </TitlesOfParts>
  <Company>Stora Enso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Älgförvaltningsplan mall</dc:title>
  <dc:creator>Johan Frisk</dc:creator>
  <cp:lastModifiedBy>Fredrik Persson</cp:lastModifiedBy>
  <cp:lastPrinted>2018-03-15T14:54:38Z</cp:lastPrinted>
  <dcterms:created xsi:type="dcterms:W3CDTF">2012-03-06T22:57:43Z</dcterms:created>
  <dcterms:modified xsi:type="dcterms:W3CDTF">2025-08-11T08:17:43Z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0x010100CAB2658E18A98746A55FF3C2FB6CECB6</vt:lpwstr>
  </property>
  <property fmtid="{D5CDD505-2E9C-101B-9397-08002B2CF9AE}" pid="3" name="Responsible">
    <vt:lpwstr/>
  </property>
</Properties>
</file>